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R:\Сметный отдел\2. ТЕНДЕРЫ\5. Поликлиника на 750 мест г. Уренгой\68 (В) ГКЛ перегородки 1 секция\ОБЯЗАТЕЛЬНО К ЗАПОЛНЕНИЮ\"/>
    </mc:Choice>
  </mc:AlternateContent>
  <xr:revisionPtr revIDLastSave="0" documentId="13_ncr:1_{929B8FA0-AEEE-4AFE-9685-43AA6E3DFA45}" xr6:coauthVersionLast="47" xr6:coauthVersionMax="47" xr10:uidLastSave="{00000000-0000-0000-0000-000000000000}"/>
  <bookViews>
    <workbookView xWindow="16515" yWindow="1350" windowWidth="19020" windowHeight="18900" xr2:uid="{00000000-000D-0000-FFFF-FFFF00000000}"/>
  </bookViews>
  <sheets>
    <sheet name="Смета" sheetId="5" r:id="rId1"/>
    <sheet name="Смета подробная" sheetId="4" state="hidden" r:id="rId2"/>
  </sheets>
  <definedNames>
    <definedName name="_xlnm.Print_Area" localSheetId="0">Смета!$A$1:$G$44</definedName>
    <definedName name="_xlnm.Print_Area" localSheetId="1">'Смета подробная'!$A$1:$G$160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5" l="1"/>
  <c r="F13" i="5" l="1"/>
  <c r="F12" i="5"/>
  <c r="F10" i="5"/>
  <c r="F9" i="5"/>
  <c r="F31" i="5"/>
  <c r="F30" i="5"/>
  <c r="F29" i="5"/>
  <c r="F28" i="5"/>
  <c r="F27" i="5"/>
  <c r="F25" i="5"/>
  <c r="F24" i="5"/>
  <c r="F23" i="5"/>
  <c r="F22" i="5"/>
  <c r="F21" i="5"/>
  <c r="F19" i="5"/>
  <c r="F18" i="5"/>
  <c r="F17" i="5"/>
  <c r="F16" i="5"/>
  <c r="F15" i="5"/>
  <c r="F11" i="5" l="1"/>
  <c r="F32" i="5"/>
  <c r="F33" i="5"/>
  <c r="F34" i="5"/>
  <c r="F35" i="5"/>
  <c r="F36" i="5"/>
  <c r="F38" i="5" l="1"/>
  <c r="F39" i="5" s="1"/>
  <c r="F9" i="4" l="1"/>
  <c r="F15" i="4"/>
  <c r="F21" i="4"/>
  <c r="F37" i="4"/>
  <c r="F48" i="4"/>
  <c r="F59" i="4"/>
  <c r="F78" i="4"/>
  <c r="F92" i="4"/>
  <c r="F112" i="4"/>
  <c r="F129" i="4"/>
  <c r="F149" i="4"/>
  <c r="D153" i="4"/>
  <c r="D152" i="4"/>
  <c r="D151" i="4"/>
  <c r="D150" i="4"/>
  <c r="D149" i="4"/>
  <c r="D148" i="4"/>
  <c r="D147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5" i="4"/>
  <c r="D96" i="4" s="1"/>
  <c r="D94" i="4"/>
  <c r="D93" i="4"/>
  <c r="D91" i="4"/>
  <c r="D90" i="4"/>
  <c r="D89" i="4"/>
  <c r="D88" i="4"/>
  <c r="D87" i="4"/>
  <c r="D86" i="4"/>
  <c r="D85" i="4"/>
  <c r="D84" i="4"/>
  <c r="D83" i="4"/>
  <c r="D81" i="4"/>
  <c r="D82" i="4" s="1"/>
  <c r="D80" i="4"/>
  <c r="D79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8" i="4"/>
  <c r="D57" i="4"/>
  <c r="D56" i="4"/>
  <c r="D55" i="4"/>
  <c r="D54" i="4"/>
  <c r="D53" i="4"/>
  <c r="D52" i="4"/>
  <c r="D51" i="4" s="1"/>
  <c r="D50" i="4"/>
  <c r="D49" i="4" s="1"/>
  <c r="D47" i="4"/>
  <c r="D46" i="4" s="1"/>
  <c r="D45" i="4"/>
  <c r="D44" i="4"/>
  <c r="D43" i="4"/>
  <c r="D42" i="4"/>
  <c r="D41" i="4"/>
  <c r="D40" i="4"/>
  <c r="D39" i="4"/>
  <c r="D38" i="4"/>
  <c r="D36" i="4"/>
  <c r="D35" i="4"/>
  <c r="D34" i="4" s="1"/>
  <c r="D33" i="4"/>
  <c r="D32" i="4"/>
  <c r="D31" i="4"/>
  <c r="D30" i="4"/>
  <c r="D29" i="4"/>
  <c r="D28" i="4"/>
  <c r="D27" i="4"/>
  <c r="D26" i="4"/>
  <c r="D25" i="4"/>
  <c r="D24" i="4"/>
  <c r="D23" i="4"/>
  <c r="D22" i="4" s="1"/>
  <c r="D20" i="4"/>
  <c r="D19" i="4"/>
  <c r="D18" i="4"/>
  <c r="D17" i="4"/>
  <c r="D16" i="4"/>
  <c r="D15" i="4"/>
  <c r="D14" i="4"/>
  <c r="D13" i="4"/>
  <c r="D12" i="4"/>
  <c r="D11" i="4"/>
  <c r="D10" i="4"/>
  <c r="D9" i="4"/>
  <c r="D48" i="4" l="1"/>
  <c r="D21" i="4"/>
  <c r="D37" i="4"/>
  <c r="F154" i="4"/>
  <c r="F155" i="4" s="1"/>
  <c r="F156" i="4" s="1"/>
</calcChain>
</file>

<file path=xl/sharedStrings.xml><?xml version="1.0" encoding="utf-8"?>
<sst xmlns="http://schemas.openxmlformats.org/spreadsheetml/2006/main" count="650" uniqueCount="293">
  <si>
    <t>Приложение № ___
к Договору субподряда 
№ ___________ от ____.____.202__ г.</t>
  </si>
  <si>
    <t>Смета №1</t>
  </si>
  <si>
    <t>№ п/п</t>
  </si>
  <si>
    <t>Наименование работ и техническая характеристика</t>
  </si>
  <si>
    <t>Ед. изм.</t>
  </si>
  <si>
    <t>Объем работ</t>
  </si>
  <si>
    <r>
      <t>Цена за единицу, руб.</t>
    </r>
    <r>
      <rPr>
        <b/>
        <sz val="11"/>
        <color theme="1"/>
        <rFont val="Times New Roman"/>
        <family val="1"/>
        <charset val="204"/>
      </rPr>
      <t xml:space="preserve"> без НДС</t>
    </r>
  </si>
  <si>
    <r>
      <t xml:space="preserve">Стоимость, руб.,
</t>
    </r>
    <r>
      <rPr>
        <b/>
        <sz val="11"/>
        <color theme="1"/>
        <rFont val="Times New Roman"/>
        <family val="1"/>
        <charset val="204"/>
      </rPr>
      <t>без НДС</t>
    </r>
  </si>
  <si>
    <t>Примечание</t>
  </si>
  <si>
    <t>8</t>
  </si>
  <si>
    <t>2</t>
  </si>
  <si>
    <t>4</t>
  </si>
  <si>
    <t>6</t>
  </si>
  <si>
    <t>Стоимость, без учета НДС</t>
  </si>
  <si>
    <t xml:space="preserve"> НДС (5%, 7%, 20%)</t>
  </si>
  <si>
    <t>Итого с учетом НДС (5%, 7%, 20%)</t>
  </si>
  <si>
    <t>Итого с учетом НДС 20%</t>
  </si>
  <si>
    <t>Субподрядчик: 
ООО «___________»
Генеральный директор 
_______________/______________./
м.п.</t>
  </si>
  <si>
    <t>Подрядчик:
ООО «ССК»
Генеральный директор
__________________ /Анисимов Е.Г./ 
м.п.</t>
  </si>
  <si>
    <t>1</t>
  </si>
  <si>
    <t>3</t>
  </si>
  <si>
    <t>5</t>
  </si>
  <si>
    <t>7</t>
  </si>
  <si>
    <t>9</t>
  </si>
  <si>
    <t>Объект: Взрослая поликлиника на 750 посещений для южной части г. Новый Уренгой</t>
  </si>
  <si>
    <t>10</t>
  </si>
  <si>
    <t>11</t>
  </si>
  <si>
    <t>12</t>
  </si>
  <si>
    <t>13</t>
  </si>
  <si>
    <t>14</t>
  </si>
  <si>
    <t>Вид работ: Сети теплоснабжения. Устройство канала</t>
  </si>
  <si>
    <t>Разработка траншеи канала механизированным способом (с доработкой до проектных отметок вручную)</t>
  </si>
  <si>
    <t>Уплотнение (с трамбованием) грунта в траншеи под основание канала (Купл.=0.95)</t>
  </si>
  <si>
    <t>Устройство основания из экструзионного пенополистирола ПЕНОПЛЕКС ФУНДАМЕНТ s=200 мм., под основание канала</t>
  </si>
  <si>
    <t>Обратная засыпка траншеи канала механизированным способом, послойно  (с трамбованием) , с толщиной слоя до 30 см (Купл.=0.95)</t>
  </si>
  <si>
    <t>м³</t>
  </si>
  <si>
    <t>м²</t>
  </si>
  <si>
    <t>шт</t>
  </si>
  <si>
    <t>15</t>
  </si>
  <si>
    <t>Сети теплоснабжения. Устройство канала</t>
  </si>
  <si>
    <t>Разработка траншеи механизированным способом (с доработкой до проектных отметок вручную). Блок 2</t>
  </si>
  <si>
    <r>
      <t>м</t>
    </r>
    <r>
      <rPr>
        <b/>
        <sz val="11"/>
        <rFont val="Calibri"/>
        <family val="2"/>
        <charset val="204"/>
      </rPr>
      <t>³</t>
    </r>
  </si>
  <si>
    <t>Разработка траншеи механизированным способом (с доработкой до проектных отметок вручную). ЖБ конструкция УМ2</t>
  </si>
  <si>
    <t>Разработка траншеи механизированным способом (с доработкой до проектных отметок вручную). Блока 3</t>
  </si>
  <si>
    <t>Разработка траншеи механизированным способом (с доработкой до проектных отметок вручную). ЖБ конструкция УМ3</t>
  </si>
  <si>
    <t>Разработка траншеи механизированным способом (с доработкой до проектных отметок вручную). Блок 4</t>
  </si>
  <si>
    <t>Уплотнение грунта основания. Блок 2</t>
  </si>
  <si>
    <r>
      <t>м</t>
    </r>
    <r>
      <rPr>
        <b/>
        <sz val="11"/>
        <rFont val="Calibri"/>
        <family val="2"/>
        <charset val="204"/>
      </rPr>
      <t>²</t>
    </r>
  </si>
  <si>
    <t>Уплотнение грунта основания. ЖБ конструкция УМ2</t>
  </si>
  <si>
    <t>Уплотнение грунта основания. Блока 3</t>
  </si>
  <si>
    <t>Уплотнение грунта основания. ЖБ конструкция УМ3</t>
  </si>
  <si>
    <t>Уплотнение грунта основания. Блок 4</t>
  </si>
  <si>
    <t>Устройство основания из щебня s=100 мм., пролитого битумом, под основание канала</t>
  </si>
  <si>
    <t>Устройство основания из щебня, пролитого битумом. Блок 2</t>
  </si>
  <si>
    <t>Щебень (фракции 40-70)</t>
  </si>
  <si>
    <t>МТР поставки Заказчика</t>
  </si>
  <si>
    <t>Битум, для проливки щебеночного основания (Битум БН 70/30)</t>
  </si>
  <si>
    <t>МТР поставки Подрядчика</t>
  </si>
  <si>
    <t>кг</t>
  </si>
  <si>
    <t>Устройство основания из щебня, пролитого битумом. ЖБ конструкция УМ2</t>
  </si>
  <si>
    <t>Устройство основания из щебня, пролитого битумом. Блок 3</t>
  </si>
  <si>
    <t>Устройство основания из щебня, пролитого битумом. ЖБ конструкция УМ3</t>
  </si>
  <si>
    <t>Устройство основания из щебня, пролитого битумом. Блок 4</t>
  </si>
  <si>
    <t>Устройство основания из песка средней крупности s=150 мм., (Купл.=0.98), под основание канала</t>
  </si>
  <si>
    <t>Устройство основания из песка средней крупности. Блок 2</t>
  </si>
  <si>
    <t>Песок ГОСТ 8736-2014</t>
  </si>
  <si>
    <t>Устройство основания из песка средней крупности. ЖБ конструкция УМ2</t>
  </si>
  <si>
    <t>Устройство основания из песка средней крупности. Блока 3</t>
  </si>
  <si>
    <t>Устройство основания из песка средней крупности. ЖБ конструкция УМ3</t>
  </si>
  <si>
    <t>Устройство основания из песка средней крупности. Блок 4</t>
  </si>
  <si>
    <t>Устройство основания из экструзионного пенополистирола. Блок 2</t>
  </si>
  <si>
    <t>Экструзионный пенополистирол ПЕНОПЛЕКС ФУНДАМЕНТ (s=200 мм.)</t>
  </si>
  <si>
    <t>Устройство основания из экструзионного пенополистирола. ЖБ конструкция УМ2</t>
  </si>
  <si>
    <t>Устройство основания из экструзионного пенополистирола. Блока 3</t>
  </si>
  <si>
    <t>Устройство основания из экструзионного пенополистирола. ЖБ конструкция УМ3</t>
  </si>
  <si>
    <t>Устройство основания из экструзионного пенополистирола. Блок 4</t>
  </si>
  <si>
    <t>Устройство железо-бетонных конструкций (в том числе: подготовка основания, гидроизоляция, монтаж ж/б конструкции, монтаж утеплителя). Блок 2</t>
  </si>
  <si>
    <t>комплекс</t>
  </si>
  <si>
    <t>Устройство бетонной подготовки В7.5. Блок 2</t>
  </si>
  <si>
    <t>Бетон В7.5 ГОСТ 26633-2015</t>
  </si>
  <si>
    <t>Устройство гидроизоляции в 2 слоя, Блок 2</t>
  </si>
  <si>
    <t>Праймер битумный "Технониколь" №1</t>
  </si>
  <si>
    <t>л</t>
  </si>
  <si>
    <t>Гидроизоляционная мембрана Техноэласт ЭПП (2 слоя)</t>
  </si>
  <si>
    <t>Устройство цементно-песчаной стяжки М100 s=30 мм., Блок 2</t>
  </si>
  <si>
    <t>Цементно-песчаная смесь марки М100</t>
  </si>
  <si>
    <t>Устройство железо-бетонных конструкций, из Бетона марки В25 s=300 мм., Блок 2</t>
  </si>
  <si>
    <t>Бетон В25 ГОСТ 26633-2015</t>
  </si>
  <si>
    <t>Арматура Ø 16 А500 Lобщ.(мп) ГОСТ 34028-2016</t>
  </si>
  <si>
    <t>тн</t>
  </si>
  <si>
    <t>Арматура Ø 12 А500 Lобщ.(мп) ГОСТ 34028-2016</t>
  </si>
  <si>
    <t>Арматура Ø 12 А500 L = 1595 ГОСТ 34028-2016</t>
  </si>
  <si>
    <t>Арматура Ø 16 А500 L = 1590 ГОСТ 34028-2016</t>
  </si>
  <si>
    <t>Арматура Ø 12 А500 L = 1240 ГОСТ 34028-2016</t>
  </si>
  <si>
    <t>Монтаж плит железобетонных, Блок 2</t>
  </si>
  <si>
    <t>Плита покрытия П23д-3а Серия 3.006.1-2.87.2-23</t>
  </si>
  <si>
    <t>Устройство утепления из экструзионного пенополистирола, Блок 2</t>
  </si>
  <si>
    <t>Устройство железо-бетонных конструкций (в том числе: подготовка основания, гидроизоляция, монтаж утеплителя). ЖБ конструкция УМ2</t>
  </si>
  <si>
    <t>Устройство бетонной подготовки В7.5. ЖБ конструкция  УМ2</t>
  </si>
  <si>
    <t>Устройство гидроизоляции в 2 слоя, ЖБ конструкция  УМ2</t>
  </si>
  <si>
    <t>Устройство цементно-песчаной стяжки М100 s=30 мм., ЖБ конструкция  УМ2</t>
  </si>
  <si>
    <t>Устройство железо-бетонных конструкций, из Бетона марки В25 s=300 мм., ЖБ конструкция  УМ2</t>
  </si>
  <si>
    <t>Арматура Ø 12 А500 L = 1285 ГОСТ 34028-2016</t>
  </si>
  <si>
    <t>Устройство утепления из экструзионного пенополистирола, ЖБ конструкция  УМ2</t>
  </si>
  <si>
    <t>Устройство железо-бетонных конструкций (в том числе: подготовка основания, гидроизоляция, монтаж ж/б конструкции, монтаж утеплителя). Блок 3</t>
  </si>
  <si>
    <t>Устройство бетонной подготовки В7.5. Блок 3</t>
  </si>
  <si>
    <t>Устройство гидроизоляции в 2 слоя, Блок 3</t>
  </si>
  <si>
    <t>Устройство цементно-песчаной стяжки М100 s=30 мм., Блок 3</t>
  </si>
  <si>
    <t>Устройство железо-бетонных конструкций, из Бетона марки В25 s=300 мм., Блок 3</t>
  </si>
  <si>
    <t>Арматура Ø 16 А500 L = 1580 ГОСТ 34028-2016</t>
  </si>
  <si>
    <t>Монтаж плит железобетонных, Блок 3</t>
  </si>
  <si>
    <t>Устройство утепления из экструзионного пенополистирола, Блок 3</t>
  </si>
  <si>
    <t>Устройство железо-бетонных конструкций (в том числе: подготовка основания, гидроизоляция, монтаж утеплителя). ЖБ конструкция УМ3</t>
  </si>
  <si>
    <t>Устройство бетонной подготовки В7.5. ЖБ конструкция УМ3</t>
  </si>
  <si>
    <t>Устройство гидроизоляции в 2 слоя, ЖБ конструкция УМ3</t>
  </si>
  <si>
    <t>Устройство цементно-песчаной стяжки М100 s=30 мм., ЖБ конструкция УМ3</t>
  </si>
  <si>
    <t>Устройство железо-бетонных конструкций, из Бетона марки В25 s=300 мм., ЖБ конструкция УМ3</t>
  </si>
  <si>
    <t>Арматура Ø 18 А500 Lобщ.(мп) ГОСТ 34028-2016</t>
  </si>
  <si>
    <t>Арматура Ø 12 А500 L = 820 ГОСТ 34028-2016</t>
  </si>
  <si>
    <t>Арматура Ø 12 А500 L = 1245 ГОСТ 34028-2016</t>
  </si>
  <si>
    <t>Арматура Ø 22 А240 L = 1100 ГОСТ 34028-2016</t>
  </si>
  <si>
    <t>Устройство утепления из экструзионного пенополистирола, ЖБ конструкция УМ3</t>
  </si>
  <si>
    <t>Устройство железо-бетонных конструкций (в том числе: подготовка основания, гидроизоляция, монтаж ж/б конструкции, монтаж утеплителя). Блок 4</t>
  </si>
  <si>
    <t>Устройство бетонной подготовки В7.5. Блок 4</t>
  </si>
  <si>
    <t>Устройство гидроизоляции в 2 слоя, Блок 4</t>
  </si>
  <si>
    <t>Устройство цементно-песчаной стяжки М100 s=30 мм., Блок 4</t>
  </si>
  <si>
    <t>Устройство железо-бетонных конструкций, из Бетона марки В25 s=300 мм., Блок 4</t>
  </si>
  <si>
    <t>Арматура Ø 12 А500 L = 1265 ГОСТ 34028-2016</t>
  </si>
  <si>
    <t>Монтаж плит железобетонных, Блок 4</t>
  </si>
  <si>
    <t>Устройство утепления из экструзионного пенополистирола, Блок 4</t>
  </si>
  <si>
    <t>Обратная засыпка траншеи механизированным способом. Блок 2  (+УМ2)</t>
  </si>
  <si>
    <t>Обратная засыпка траншеи механизированным способом. Блок 3</t>
  </si>
  <si>
    <t>Обратная засыпка траншеи механизированным способом. ЖБ конструкция УМ3</t>
  </si>
  <si>
    <t>Обратная засыпка траншеи механизированным способом. Блок 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</si>
  <si>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</si>
  <si>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</si>
  <si>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</si>
  <si>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</si>
  <si>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</si>
  <si>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</si>
  <si>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</si>
  <si>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</si>
  <si>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</si>
  <si>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</si>
  <si>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</si>
  <si>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</si>
  <si>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</si>
  <si>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</si>
  <si>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</si>
  <si>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</si>
  <si>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</si>
  <si>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</si>
  <si>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</si>
  <si>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</si>
  <si>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</si>
  <si>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</si>
  <si>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</si>
  <si>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</si>
  <si>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</si>
  <si>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</si>
  <si>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</si>
  <si>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</si>
  <si>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</si>
  <si>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</si>
  <si>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</si>
  <si>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</si>
  <si>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</si>
  <si>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</si>
  <si>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</si>
  <si>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</si>
  <si>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</si>
  <si>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</si>
  <si>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</si>
  <si>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</si>
  <si>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</si>
  <si>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</si>
  <si>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</si>
  <si>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</si>
  <si>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</si>
  <si>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</si>
  <si>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</si>
  <si>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</si>
  <si>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</si>
  <si>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</si>
  <si>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</si>
  <si>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</si>
  <si>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</si>
  <si>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</si>
  <si>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</si>
  <si>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</si>
  <si>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</si>
  <si>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</si>
  <si>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</si>
  <si>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</si>
  <si>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</si>
  <si>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</si>
  <si>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</si>
  <si>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</si>
  <si>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</si>
  <si>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</si>
  <si>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</si>
  <si>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</si>
  <si>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</si>
  <si>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</si>
  <si>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</si>
  <si>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</si>
  <si>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</si>
  <si>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</si>
  <si>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</si>
  <si>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</si>
  <si>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</si>
  <si>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</si>
  <si>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</si>
  <si>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</si>
  <si>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</si>
  <si>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</si>
  <si>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</si>
  <si>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</si>
  <si>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</si>
  <si>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</si>
  <si>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</si>
  <si>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</si>
  <si>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</si>
  <si>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</si>
  <si>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</si>
  <si>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</si>
  <si>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</si>
  <si>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</si>
  <si>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</si>
  <si>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</si>
  <si>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</si>
  <si>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</si>
  <si>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</si>
  <si>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</si>
  <si>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</si>
  <si>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</si>
  <si>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</si>
  <si>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</si>
  <si>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</si>
  <si>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</si>
  <si>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</si>
  <si>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</si>
  <si>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</si>
  <si>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</si>
  <si>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</si>
  <si>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</si>
  <si>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</si>
  <si>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</si>
  <si>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</si>
  <si>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</si>
  <si>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</si>
  <si>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</si>
  <si>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</si>
  <si>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</si>
  <si>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</si>
  <si>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</si>
  <si>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</si>
  <si>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</si>
  <si>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</si>
  <si>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</si>
  <si>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</si>
  <si>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</si>
  <si>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</si>
  <si>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</si>
  <si>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</si>
  <si>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ВАЖНО!!!! УКАЖИТЕ НДС КОМПАНИИ</t>
  </si>
  <si>
    <t>м2</t>
  </si>
  <si>
    <t>Устройство перемычек</t>
  </si>
  <si>
    <t>Монтаж готовых металлических перемычек ПР-6.1, ПР-7.1, ПР-7.2, ПР-8.1, Пр-8.2, Пр-2, Пр-3, Пр-3*, Пр-4*, Пр-9</t>
  </si>
  <si>
    <t>Устройство готовой монолитной железобетонной перемычки ПР-2.2* из 2ПБ 13-1-п</t>
  </si>
  <si>
    <t>Устройство готовой монолитной железобетонной перемычки ПР-3.1 из 2ПБ 16-2-п</t>
  </si>
  <si>
    <t>Устройство готовой монолитной железобетонной перемычки Пр-15 из 2ПБ 13-1</t>
  </si>
  <si>
    <t>1 секция отм. 0,000 устройство гипсокартонных перегородок</t>
  </si>
  <si>
    <t>Устройство каркасной перегородки П-3.01:
С382 - Каркасная перегородка с одинарным металлическим каркасом, двуслойной обшивкой 2х12,5мм из цементной плиты АКВАПАНЕЛЬ.
Внутренняя с двух сторон, с заполнением каркаса минеральной ватой 100мм. Каркас - ПН/UA-профиль (усиленный) шир.100мм, шаг 600</t>
  </si>
  <si>
    <t>Устройство каркасной перегородки П-3.02:
С686 - Двухслойная зашивка 2х12,5мм из цементной плиты АКВАПАНЕЛЬ. Внутренняя с одной стороны по одинарному металлическому
каркасу ПН/UA-профиль (усиленный) шир.100мм, шаг 300, с заполнением каркаса минеральной ватой 100мм</t>
  </si>
  <si>
    <t>Устройство каркасной перегородки П-3.03:
С686 - Двухслойная зашивка 2х12,5мм из цементной плиты АКВАПАНЕЛЬ. Внутренняя с одной стороны по одинарному металлическому
каркасу ПН/UA-профиль (усиленный) шир.50мм, шаг 600 (зашивка фасада)</t>
  </si>
  <si>
    <t>Устройство каркасной перегородки П-4.01:
С112 - Каркасная перегородка с одинарным металлическим каркасом, двуслойной обшивкой 2х12,5мм из гипсокартонного листа (ГСП-А) с
двух сторон, с заполнением каркаса минеральной ватой 100мм. Каркас - ПН/UA-профиль (усиленный) шир.100мм, шаг 600</t>
  </si>
  <si>
    <t>Устройство каркасной перегородки П-4.02:
С626 - Двухслойная зашивка 2х12,5мм из гипсокартонного листа (ГСП-А) с одной стороны по одинарному металлическому каркасу.
ПН/UA-профиль (усиленный) шир.100мм, шаг 600, с заполнением каркаса минеральной ватой 100мм</t>
  </si>
  <si>
    <t>1 секция отм. +6,000 устройство гипсокартонных перегородок</t>
  </si>
  <si>
    <t>Устройство каркасной перегородки П-3.02:
С686 - Двухслойная зашивка 2х12,5мм из цементной плиты АКВАПАНЕЛЬ. Внутренняя с одной стороны по одинарному металлическому
каркасу ПН/UA-профиль (усиленный) шир.100мм, шаг 600, с заполнением каркаса минеральной ватой 100мм</t>
  </si>
  <si>
    <t>1 секция отм. +10,500 устройство гипсокартонных перегородок</t>
  </si>
  <si>
    <t>1 секция отм. +15,000 устройство гипсокартонных перегородок</t>
  </si>
  <si>
    <t>Вид работ: Устройство каркасных перегородок секция 1 на отметках: 0,000; +6,000;+10,500;+15,000</t>
  </si>
  <si>
    <t>292/08/23-Р-АР1, листы 9, 26, 29</t>
  </si>
  <si>
    <t>292/08/23-Р-АР1, листы 9, 26, 29;
292/08/23-Р-АР5, листы 5, 20</t>
  </si>
  <si>
    <t>Выполнить согласно проектной документации:</t>
  </si>
  <si>
    <t>292/08/23-Р-АР1, листы 10, 26, 29</t>
  </si>
  <si>
    <t>292/08/23-Р-АР1, листы 10, 26, 29;
292/08/23-Р-АР5, листы 6, 20</t>
  </si>
  <si>
    <t>292/08/23-Р-АР1, листы 11, 26, 29</t>
  </si>
  <si>
    <t>292/08/23-Р-АР1, листы 11, 26, 29;
292/08/23-Р-АР5, листы 7, 20</t>
  </si>
  <si>
    <t>292/08/23-Р-АР1, листы 12, 26, 29</t>
  </si>
  <si>
    <t>292/08/23-Р-АР1, листы 12, 26, 29;
292/08/23-Р-АР5, листы 8, 20</t>
  </si>
  <si>
    <t>*Подмости, а так же их сборка/разборка; ручной инструмент и расходные материалы для ручного инструмента; уборка мусора за субподрядной организацией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</si>
</sst>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-* #,##0.00_-;\-* #,##0.00_-;_-* &quot;-&quot;??_-;_-@_-"/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0.000"/>
    <numFmt numFmtId="170" formatCode="#,##0.0"/>
    <numFmt numFmtId="171" formatCode="_(* #,##0_);_(* \(#,##0\);_(* &quot;-&quot;??_);_(@_)"/>
    <numFmt numFmtId="172" formatCode="#,##0.00_ ;\-#,##0.00\ "/>
    <numFmt numFmtId="173" formatCode="_-* #,##0.00\ &quot;р.&quot;_-;\-* #,##0.00\ &quot;р.&quot;_-;_-* &quot;-&quot;??\ &quot;р.&quot;_-;_-@_-"/>
    <numFmt numFmtId="174" formatCode="_-* #,##0_р_-;\-* #,##0_р_-;_-* &quot;-&quot;_р_-;_-@_-"/>
    <numFmt numFmtId="175" formatCode="_-* #,##0.00_р_-;\-* #,##0.00_р_-;_-* &quot;-&quot;??_р_-;_-@_-"/>
    <numFmt numFmtId="176" formatCode="_-* #,##0\ _р_._-;\-* #,##0\ _р_._-;_-* &quot;-&quot;\ _р_._-;_-@_-"/>
    <numFmt numFmtId="177" formatCode="_-&quot;Ј&quot;* #,##0.00_-;\-&quot;Ј&quot;* #,##0.00_-;_-&quot;Ј&quot;* &quot;-&quot;??_-;_-@_-"/>
    <numFmt numFmtId="178" formatCode="&quot;Ј&quot;\ #,##0"/>
    <numFmt numFmtId="179" formatCode="\ #,##0.00&quot;р. &quot;;\-#,##0.00&quot;р. &quot;;&quot; -&quot;#&quot;р. &quot;;@\ "/>
    <numFmt numFmtId="180" formatCode="#,##0.00\ &quot;₽&quot;"/>
  </numFmts>
  <fonts count="5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name val="Times New Roman Cyr"/>
      <family val="1"/>
      <charset val="204"/>
    </font>
    <font>
      <sz val="11"/>
      <color indexed="8"/>
      <name val="Book Antiqua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8"/>
      <name val="Arial"/>
      <family val="2"/>
    </font>
    <font>
      <sz val="10"/>
      <name val="MS Sans Serif"/>
      <family val="2"/>
      <charset val="204"/>
    </font>
    <font>
      <b/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Book Antiqua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Bookman Old Style"/>
      <family val="2"/>
      <charset val="204"/>
    </font>
    <font>
      <b/>
      <sz val="11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8">
    <xf numFmtId="0" fontId="0" fillId="0" borderId="0"/>
    <xf numFmtId="0" fontId="2" fillId="0" borderId="0"/>
    <xf numFmtId="43" fontId="8" fillId="0" borderId="0" applyFont="0" applyFill="0" applyBorder="0" applyProtection="0"/>
    <xf numFmtId="0" fontId="13" fillId="0" borderId="0"/>
    <xf numFmtId="0" fontId="18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41" fillId="0" borderId="0"/>
    <xf numFmtId="0" fontId="42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176" fontId="37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37" fillId="0" borderId="0" applyFont="0" applyFill="0" applyBorder="0" applyAlignment="0" applyProtection="0"/>
    <xf numFmtId="177" fontId="18" fillId="0" borderId="0" applyFont="0" applyFill="0" applyBorder="0" applyAlignment="0" applyProtection="0"/>
    <xf numFmtId="0" fontId="20" fillId="0" borderId="0"/>
    <xf numFmtId="38" fontId="47" fillId="20" borderId="0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0" fontId="47" fillId="21" borderId="2" applyNumberFormat="0" applyBorder="0" applyAlignment="0" applyProtection="0"/>
    <xf numFmtId="178" fontId="19" fillId="0" borderId="0"/>
    <xf numFmtId="0" fontId="51" fillId="0" borderId="0"/>
    <xf numFmtId="0" fontId="48" fillId="0" borderId="0"/>
    <xf numFmtId="0" fontId="42" fillId="0" borderId="0"/>
    <xf numFmtId="10" fontId="18" fillId="0" borderId="0" applyFont="0" applyFill="0" applyBorder="0" applyAlignment="0" applyProtection="0"/>
    <xf numFmtId="49" fontId="49" fillId="0" borderId="4" applyFill="0" applyBorder="0" applyProtection="0">
      <alignment horizontal="left" wrapText="1"/>
    </xf>
    <xf numFmtId="0" fontId="16" fillId="0" borderId="2">
      <alignment horizontal="center"/>
    </xf>
    <xf numFmtId="0" fontId="16" fillId="0" borderId="2">
      <alignment horizontal="center"/>
    </xf>
    <xf numFmtId="0" fontId="19" fillId="0" borderId="0">
      <alignment vertical="top"/>
    </xf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22" fillId="11" borderId="7" applyNumberFormat="0" applyAlignment="0" applyProtection="0"/>
    <xf numFmtId="0" fontId="16" fillId="0" borderId="2">
      <alignment horizontal="center"/>
    </xf>
    <xf numFmtId="0" fontId="16" fillId="0" borderId="2">
      <alignment horizontal="center"/>
    </xf>
    <xf numFmtId="0" fontId="16" fillId="0" borderId="0">
      <alignment vertical="top"/>
    </xf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3" fillId="26" borderId="8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0" fontId="24" fillId="26" borderId="7" applyNumberFormat="0" applyAlignment="0" applyProtection="0"/>
    <xf numFmtId="166" fontId="19" fillId="0" borderId="0" applyFont="0" applyFill="0" applyBorder="0" applyAlignment="0" applyProtection="0"/>
    <xf numFmtId="169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79" fontId="50" fillId="0" borderId="0" applyFill="0" applyBorder="0" applyAlignment="0" applyProtection="0"/>
    <xf numFmtId="173" fontId="46" fillId="0" borderId="0" applyFont="0" applyFill="0" applyBorder="0" applyAlignment="0" applyProtection="0"/>
    <xf numFmtId="0" fontId="43" fillId="0" borderId="9" applyNumberFormat="0" applyFill="0" applyProtection="0">
      <alignment horizontal="center"/>
    </xf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9" fillId="0" borderId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16" fillId="0" borderId="0">
      <alignment horizontal="right" vertical="top" wrapText="1"/>
    </xf>
    <xf numFmtId="0" fontId="16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29" fillId="27" borderId="14" applyNumberFormat="0" applyAlignment="0" applyProtection="0"/>
    <xf numFmtId="0" fontId="16" fillId="0" borderId="2">
      <alignment horizontal="center" wrapText="1"/>
    </xf>
    <xf numFmtId="0" fontId="16" fillId="0" borderId="2">
      <alignment horizontal="center" wrapText="1"/>
    </xf>
    <xf numFmtId="0" fontId="19" fillId="0" borderId="0">
      <alignment vertical="top"/>
    </xf>
    <xf numFmtId="0" fontId="19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19" fillId="0" borderId="0"/>
    <xf numFmtId="0" fontId="1" fillId="0" borderId="0"/>
    <xf numFmtId="0" fontId="18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5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1" fillId="0" borderId="0"/>
    <xf numFmtId="0" fontId="19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8" fillId="0" borderId="0"/>
    <xf numFmtId="0" fontId="52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9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8" fillId="0" borderId="0"/>
    <xf numFmtId="0" fontId="1" fillId="0" borderId="0"/>
    <xf numFmtId="0" fontId="51" fillId="0" borderId="0"/>
    <xf numFmtId="0" fontId="40" fillId="0" borderId="0"/>
    <xf numFmtId="0" fontId="19" fillId="0" borderId="0"/>
    <xf numFmtId="0" fontId="40" fillId="0" borderId="0"/>
    <xf numFmtId="0" fontId="18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" fillId="0" borderId="0"/>
    <xf numFmtId="0" fontId="16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52" fillId="0" borderId="0"/>
    <xf numFmtId="0" fontId="18" fillId="0" borderId="0"/>
    <xf numFmtId="0" fontId="18" fillId="0" borderId="0"/>
    <xf numFmtId="0" fontId="18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/>
    <xf numFmtId="0" fontId="19" fillId="0" borderId="0"/>
    <xf numFmtId="0" fontId="54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51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20" fillId="0" borderId="0"/>
    <xf numFmtId="0" fontId="18" fillId="0" borderId="0"/>
    <xf numFmtId="0" fontId="5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9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9" fillId="0" borderId="0"/>
    <xf numFmtId="0" fontId="18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1" fillId="0" borderId="0"/>
    <xf numFmtId="0" fontId="1" fillId="0" borderId="0"/>
    <xf numFmtId="0" fontId="1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52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2">
      <alignment horizontal="center" wrapText="1"/>
    </xf>
    <xf numFmtId="0" fontId="16" fillId="0" borderId="2">
      <alignment horizontal="center" wrapText="1"/>
    </xf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19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19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0" fontId="20" fillId="29" borderId="15" applyNumberFormat="0" applyFont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2">
      <alignment horizontal="center"/>
    </xf>
    <xf numFmtId="0" fontId="16" fillId="0" borderId="2">
      <alignment horizontal="center"/>
    </xf>
    <xf numFmtId="0" fontId="19" fillId="0" borderId="0"/>
    <xf numFmtId="0" fontId="16" fillId="0" borderId="2">
      <alignment horizontal="center" wrapText="1"/>
    </xf>
    <xf numFmtId="0" fontId="16" fillId="0" borderId="2">
      <alignment horizontal="center" wrapText="1"/>
    </xf>
    <xf numFmtId="0" fontId="19" fillId="0" borderId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34" fillId="0" borderId="16" applyNumberFormat="0" applyFill="0" applyAlignment="0" applyProtection="0"/>
    <xf numFmtId="0" fontId="41" fillId="0" borderId="0"/>
    <xf numFmtId="0" fontId="42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6" fillId="0" borderId="0">
      <alignment horizontal="center"/>
    </xf>
    <xf numFmtId="174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4" fontId="45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45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43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9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72" fontId="1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4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16" fillId="0" borderId="0">
      <alignment horizontal="left" vertical="top"/>
    </xf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19" fillId="0" borderId="2">
      <alignment vertical="top" wrapText="1"/>
    </xf>
    <xf numFmtId="0" fontId="19" fillId="0" borderId="2">
      <alignment vertical="top" wrapText="1"/>
    </xf>
    <xf numFmtId="0" fontId="16" fillId="0" borderId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10" fontId="47" fillId="21" borderId="17" applyNumberFormat="0" applyBorder="0" applyAlignment="0" applyProtection="0"/>
    <xf numFmtId="0" fontId="16" fillId="0" borderId="17">
      <alignment horizontal="center"/>
    </xf>
    <xf numFmtId="0" fontId="16" fillId="0" borderId="17">
      <alignment horizontal="center"/>
    </xf>
    <xf numFmtId="0" fontId="16" fillId="0" borderId="17">
      <alignment horizontal="center"/>
    </xf>
    <xf numFmtId="0" fontId="16" fillId="0" borderId="17">
      <alignment horizontal="center"/>
    </xf>
    <xf numFmtId="0" fontId="16" fillId="0" borderId="17">
      <alignment horizontal="center" wrapText="1"/>
    </xf>
    <xf numFmtId="0" fontId="16" fillId="0" borderId="17">
      <alignment horizontal="center" wrapText="1"/>
    </xf>
    <xf numFmtId="0" fontId="16" fillId="0" borderId="17">
      <alignment horizontal="center" wrapText="1"/>
    </xf>
    <xf numFmtId="0" fontId="16" fillId="0" borderId="17">
      <alignment horizontal="center" wrapText="1"/>
    </xf>
    <xf numFmtId="0" fontId="16" fillId="0" borderId="17">
      <alignment horizontal="center"/>
    </xf>
    <xf numFmtId="0" fontId="16" fillId="0" borderId="17">
      <alignment horizontal="center"/>
    </xf>
    <xf numFmtId="0" fontId="16" fillId="0" borderId="17">
      <alignment horizontal="center" wrapText="1"/>
    </xf>
    <xf numFmtId="0" fontId="16" fillId="0" borderId="17">
      <alignment horizontal="center" wrapText="1"/>
    </xf>
    <xf numFmtId="0" fontId="19" fillId="0" borderId="17">
      <alignment vertical="top" wrapText="1"/>
    </xf>
    <xf numFmtId="0" fontId="19" fillId="0" borderId="17">
      <alignment vertical="top" wrapText="1"/>
    </xf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2" applyNumberFormat="1" applyFont="1" applyBorder="1" applyAlignment="1">
      <alignment horizontal="center" vertical="center"/>
    </xf>
    <xf numFmtId="0" fontId="10" fillId="0" borderId="0" xfId="0" applyFont="1"/>
    <xf numFmtId="0" fontId="3" fillId="0" borderId="0" xfId="0" applyFont="1" applyAlignment="1">
      <alignment horizontal="center"/>
    </xf>
    <xf numFmtId="4" fontId="11" fillId="0" borderId="2" xfId="0" applyNumberFormat="1" applyFont="1" applyBorder="1" applyAlignment="1">
      <alignment horizontal="center" vertical="center" wrapText="1"/>
    </xf>
    <xf numFmtId="49" fontId="15" fillId="3" borderId="2" xfId="3" quotePrefix="1" applyNumberFormat="1" applyFont="1" applyFill="1" applyBorder="1" applyAlignment="1" applyProtection="1">
      <alignment horizontal="left" vertical="center" wrapText="1"/>
      <protection locked="0"/>
    </xf>
    <xf numFmtId="49" fontId="15" fillId="4" borderId="2" xfId="3" quotePrefix="1" applyNumberFormat="1" applyFont="1" applyFill="1" applyBorder="1" applyAlignment="1" applyProtection="1">
      <alignment horizontal="left" vertical="center" wrapText="1"/>
      <protection locked="0"/>
    </xf>
    <xf numFmtId="49" fontId="16" fillId="0" borderId="2" xfId="3" quotePrefix="1" applyNumberFormat="1" applyFont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center" vertical="center"/>
    </xf>
    <xf numFmtId="1" fontId="14" fillId="3" borderId="2" xfId="3" quotePrefix="1" applyNumberFormat="1" applyFont="1" applyFill="1" applyBorder="1" applyAlignment="1" applyProtection="1">
      <alignment horizontal="center" vertical="center" wrapText="1"/>
      <protection locked="0"/>
    </xf>
    <xf numFmtId="4" fontId="15" fillId="3" borderId="2" xfId="0" applyNumberFormat="1" applyFont="1" applyFill="1" applyBorder="1" applyAlignment="1">
      <alignment horizontal="center" vertical="center" wrapText="1"/>
    </xf>
    <xf numFmtId="1" fontId="14" fillId="4" borderId="2" xfId="3" quotePrefix="1" applyNumberFormat="1" applyFont="1" applyFill="1" applyBorder="1" applyAlignment="1" applyProtection="1">
      <alignment horizontal="center" vertical="center" wrapText="1"/>
      <protection locked="0"/>
    </xf>
    <xf numFmtId="4" fontId="15" fillId="4" borderId="2" xfId="0" applyNumberFormat="1" applyFont="1" applyFill="1" applyBorder="1" applyAlignment="1">
      <alignment horizontal="center" vertical="center" wrapText="1"/>
    </xf>
    <xf numFmtId="1" fontId="12" fillId="5" borderId="2" xfId="3" quotePrefix="1" applyNumberFormat="1" applyFont="1" applyFill="1" applyBorder="1" applyAlignment="1" applyProtection="1">
      <alignment horizontal="center" vertical="center" wrapText="1"/>
      <protection locked="0"/>
    </xf>
    <xf numFmtId="4" fontId="16" fillId="5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10" fillId="3" borderId="2" xfId="2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7" fillId="0" borderId="4" xfId="0" applyFont="1" applyBorder="1"/>
    <xf numFmtId="0" fontId="3" fillId="0" borderId="5" xfId="0" applyFont="1" applyBorder="1"/>
    <xf numFmtId="0" fontId="3" fillId="0" borderId="0" xfId="0" applyFont="1" applyBorder="1"/>
    <xf numFmtId="1" fontId="15" fillId="2" borderId="0" xfId="3" quotePrefix="1" applyNumberFormat="1" applyFont="1" applyFill="1" applyBorder="1" applyAlignment="1" applyProtection="1">
      <alignment horizontal="center" vertical="center" wrapText="1"/>
      <protection locked="0"/>
    </xf>
    <xf numFmtId="1" fontId="15" fillId="3" borderId="0" xfId="3" quotePrefix="1" applyNumberFormat="1" applyFont="1" applyFill="1" applyBorder="1" applyAlignment="1" applyProtection="1">
      <alignment horizontal="center" vertical="center" wrapText="1"/>
      <protection locked="0"/>
    </xf>
    <xf numFmtId="1" fontId="15" fillId="4" borderId="0" xfId="3" quotePrefix="1" applyNumberFormat="1" applyFont="1" applyFill="1" applyBorder="1" applyAlignment="1" applyProtection="1">
      <alignment horizontal="center" vertical="center" wrapText="1"/>
      <protection locked="0"/>
    </xf>
    <xf numFmtId="1" fontId="16" fillId="5" borderId="0" xfId="3" quotePrefix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vertical="top" wrapText="1"/>
    </xf>
    <xf numFmtId="0" fontId="56" fillId="0" borderId="17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30" borderId="1" xfId="0" applyFont="1" applyFill="1" applyBorder="1" applyAlignment="1">
      <alignment horizontal="center" vertical="center"/>
    </xf>
    <xf numFmtId="0" fontId="7" fillId="30" borderId="1" xfId="0" applyFont="1" applyFill="1" applyBorder="1" applyAlignment="1">
      <alignment horizontal="center" vertical="center"/>
    </xf>
    <xf numFmtId="4" fontId="3" fillId="0" borderId="17" xfId="2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" fontId="10" fillId="0" borderId="2" xfId="2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3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right" vertical="top"/>
    </xf>
    <xf numFmtId="180" fontId="56" fillId="0" borderId="1" xfId="0" applyNumberFormat="1" applyFont="1" applyBorder="1" applyAlignment="1">
      <alignment horizontal="center" wrapText="1"/>
    </xf>
    <xf numFmtId="180" fontId="56" fillId="0" borderId="3" xfId="0" applyNumberFormat="1" applyFont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6" fillId="0" borderId="17" xfId="1" applyFont="1" applyBorder="1" applyAlignment="1">
      <alignment horizontal="right" vertical="top"/>
    </xf>
    <xf numFmtId="1" fontId="15" fillId="2" borderId="5" xfId="3" quotePrefix="1" applyNumberFormat="1" applyFont="1" applyFill="1" applyBorder="1" applyAlignment="1" applyProtection="1">
      <alignment horizontal="center" vertical="center" wrapText="1"/>
      <protection locked="0"/>
    </xf>
    <xf numFmtId="1" fontId="15" fillId="2" borderId="6" xfId="3" quotePrefix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top" wrapText="1"/>
    </xf>
    <xf numFmtId="0" fontId="6" fillId="0" borderId="3" xfId="1" applyFont="1" applyBorder="1" applyAlignment="1">
      <alignment horizontal="right" vertical="top"/>
    </xf>
  </cellXfs>
  <cellStyles count="1638">
    <cellStyle name="_АСУ ТП ЦПС ЮБ расшифровка( Скорректирован с НА)1" xfId="5" xr:uid="{99E401DB-DA6E-4FD4-8E36-983B647AE885}"/>
    <cellStyle name="_Выполнение ЦППН-2 декабрь(УКС)" xfId="6" xr:uid="{1A821966-075C-4F5F-A99C-1C14DF5EFEB7}"/>
    <cellStyle name="_днс мат" xfId="7" xr:uid="{07EC9231-566A-460A-9E97-1234F5EA9C29}"/>
    <cellStyle name="_ДНС СЗ  НМ свод" xfId="8" xr:uid="{68510E00-A47D-416A-AB78-438944DB05C7}"/>
    <cellStyle name="_доп.согл дог136  5 ПОС после ПСО" xfId="9" xr:uid="{34081C26-0801-4238-B087-92FDED44542B}"/>
    <cellStyle name="_К206 РН-Автоматика" xfId="10" xr:uid="{9E1A0D51-4B1B-411E-AA12-095B2D2FCFF4}"/>
    <cellStyle name="_КДФТ Лемпино материалы и оборудование" xfId="11" xr:uid="{26442DF0-5EF6-459E-9D12-4CD689A78C97}"/>
    <cellStyle name="_Книга1" xfId="12" xr:uid="{D0CA08BD-7A43-4E17-A29B-A43DEEC43E67}"/>
    <cellStyle name="_КНС куста 205" xfId="13" xr:uid="{A81924F9-C8A7-4569-B5A3-1550445F5C01}"/>
    <cellStyle name="_КНС куста 216 прилож" xfId="14" xr:uid="{88D459DE-CF5B-481F-A64C-A08A6A677126}"/>
    <cellStyle name="_Куст 142  6950-Р142  для работы с подрядчиком" xfId="15" xr:uid="{75627B03-6D38-4BBB-BFB3-93DFBE9CDF6F}"/>
    <cellStyle name="_Куст 143 6950 Д1 для работы с подрядчиком" xfId="16" xr:uid="{FF3B5FB9-9D1A-4574-A5CB-FDD19BEF40AC}"/>
    <cellStyle name="_Куст 289" xfId="17" xr:uid="{393CA6CA-2A00-4563-8F6F-CEAA6CE864E7}"/>
    <cellStyle name="_Куст 291 6950-Р291" xfId="18" xr:uid="{2D162538-19C9-4C31-8AF0-1945B03C9CFC}"/>
    <cellStyle name="_материалы КНС 216" xfId="19" xr:uid="{C5F04B65-3122-462B-831D-0FC7057C6755}"/>
    <cellStyle name="_Оборудование  КНС 143" xfId="20" xr:uid="{9B4244B2-4A74-4365-94CD-676EE2936733}"/>
    <cellStyle name="_ООО Плазма напорн.нефтепр уз19е уз5а ОКОНЧАТ" xfId="21" xr:uid="{DF2415A0-ACE8-44B4-A20E-7D765EBB9BF6}"/>
    <cellStyle name="_От Маркеловой" xfId="22" xr:uid="{73FEF6C6-1A3E-4B6E-9591-7F046424EF7A}"/>
    <cellStyle name="_пнр" xfId="23" xr:uid="{43C09F47-5FB2-43EF-A048-7A06C10C3231}"/>
    <cellStyle name="_ПНР городская баня" xfId="24" xr:uid="{09A4C8AF-CE88-4597-A9CE-564542ED4AAA}"/>
    <cellStyle name="_ПНР кусты приобское 238,241,243,245,251 Нефтьмонтаж" xfId="25" xr:uid="{AB8260A5-E5E8-41F3-BF61-E6F1B58B55A4}"/>
    <cellStyle name="_ПНР образец" xfId="26" xr:uid="{C93863B9-F335-48CF-9CA2-F5FEBA93FAD7}"/>
    <cellStyle name="_Прил 2, 3, 4, 5" xfId="27" xr:uid="{53D5CC87-4EF1-4309-B416-7B925DD0CFD9}"/>
    <cellStyle name="_Приложения" xfId="28" xr:uid="{00618618-6788-432D-A263-C660239964CB}"/>
    <cellStyle name="_Приложения к договору 136РРЛ" xfId="29" xr:uid="{2454ACA1-6EA8-43F5-A12D-69193C71258B}"/>
    <cellStyle name="_ПРИЛОЖЕНИЯ к договору кор" xfId="30" xr:uid="{77F1EE42-746B-4387-B9E8-FE40A68C7BA5}"/>
    <cellStyle name="_Проверка Расчет дог.цены Куст скв. 205 БИС1(от подрядчика) согласовано" xfId="31" xr:uid="{878506A2-DE24-4BA2-8A44-C7BA637B4911}"/>
    <cellStyle name="_Разд вед" xfId="32" xr:uid="{94D469E4-327D-4010-B0B1-03D50A9B3E98}"/>
    <cellStyle name="_Расчет договорной цены Куст скважины 209 БИС3" xfId="33" xr:uid="{9301940C-E919-471E-B60A-CCA0C6F1DA6F}"/>
    <cellStyle name="_РН 231105" xfId="34" xr:uid="{09F81B45-A0AA-4C51-810C-123316CBF9F7}"/>
    <cellStyle name="_РН-А" xfId="35" xr:uid="{E7C3A057-7E85-43F9-B2DF-8F971D802CE3}"/>
    <cellStyle name="_Свод КНС куст 216" xfId="36" xr:uid="{AC096F51-6344-4B7E-86F5-BB7E6325D3DD}"/>
    <cellStyle name="_Свод КНС ОМБИНКА доп сог" xfId="37" xr:uid="{7795386A-0856-48BE-AFCB-A37067C6D6AA}"/>
    <cellStyle name="_свод ЦППН 3 ЮБ 1" xfId="38" xr:uid="{831F7161-2D8C-456C-9404-294488BB7D6A}"/>
    <cellStyle name="_свод ЦПС Приразл РНА 2006-кор" xfId="39" xr:uid="{55157A83-F766-4AC3-8252-9DE13AC4558D}"/>
    <cellStyle name="_Смета ПНР изм." xfId="40" xr:uid="{3020EACD-FE28-4210-9ADF-5DDC8DC60A96}"/>
    <cellStyle name="_смета пнр рн авт" xfId="41" xr:uid="{0F57A021-68F9-4BA2-B376-30407E57807F}"/>
    <cellStyle name="_Сметы Асомкино от РН-Автом" xfId="42" xr:uid="{7A654C9B-1B5E-454C-9604-7E079629B52B}"/>
    <cellStyle name="_СМР ЗМБ 1 пункт слива нефти" xfId="43" xr:uid="{7096B768-F544-4414-9609-36078AD1DF85}"/>
    <cellStyle name="_СМР_РПД_25.01.03" xfId="44" xr:uid="{CA51C022-E954-42EE-9406-2ED5554AA5DF}"/>
    <cellStyle name="_Спецификация для ОЗНА 1" xfId="45" xr:uid="{B14856C9-0F9C-487E-A834-657B9E6DCE0F}"/>
    <cellStyle name="_Стоимость ПТК БКНС 1 СУ мр" xfId="46" xr:uid="{AC16A158-9669-499F-B29F-2620C504E5D8}"/>
    <cellStyle name="_Стоимость ПТК БКНС4" xfId="47" xr:uid="{5853D081-7699-4019-AD97-F34979B02248}"/>
    <cellStyle name="20% - Акцент1 10 2" xfId="48" xr:uid="{7B00E0D1-6C0B-4D1D-8134-69131E8C1AC3}"/>
    <cellStyle name="20% - Акцент1 11" xfId="49" xr:uid="{C30BC040-BC90-4C8D-B447-5FF4AE602E49}"/>
    <cellStyle name="20% - Акцент1 2" xfId="50" xr:uid="{4AE0F57F-2D6E-4737-9F44-7D601EBABA89}"/>
    <cellStyle name="20% - Акцент1 2 2" xfId="51" xr:uid="{7DB73E4D-84DB-4EA8-84D5-6FEDFA13CF84}"/>
    <cellStyle name="20% - Акцент1 3 2" xfId="52" xr:uid="{0AAFDB26-85E7-4524-924D-FF58B7F62B5D}"/>
    <cellStyle name="20% - Акцент1 4 2" xfId="53" xr:uid="{8793DC1A-DCD6-4AF0-B60C-4C5BFD9386A4}"/>
    <cellStyle name="20% - Акцент1 5 2" xfId="54" xr:uid="{072684C6-0B5A-4563-88D5-A90F9EA2E159}"/>
    <cellStyle name="20% - Акцент1 6 2" xfId="55" xr:uid="{323DD40D-D119-4799-8A96-1FDC28C167C6}"/>
    <cellStyle name="20% - Акцент1 7 2" xfId="56" xr:uid="{7F8E4C96-2829-4F29-AAE5-CD4FDD6FAEB2}"/>
    <cellStyle name="20% - Акцент1 8 2" xfId="57" xr:uid="{4B37D2C1-9250-41E3-BADC-F1648A9D4D67}"/>
    <cellStyle name="20% - Акцент1 9 2" xfId="58" xr:uid="{89EC7DE6-D22B-44E8-9B77-61FE8BA3EA38}"/>
    <cellStyle name="20% - Акцент2 10 2" xfId="59" xr:uid="{B42F9FF5-FC41-4321-B51B-0E98B940D4B5}"/>
    <cellStyle name="20% - Акцент2 11" xfId="60" xr:uid="{ADD2200D-8ABA-42CB-84D4-9659396DDD19}"/>
    <cellStyle name="20% - Акцент2 2" xfId="61" xr:uid="{F7089CAA-68E4-4898-B056-E83800F77413}"/>
    <cellStyle name="20% - Акцент2 2 2" xfId="62" xr:uid="{FF564F3D-51FC-4291-9010-4043AA4F6EA1}"/>
    <cellStyle name="20% - Акцент2 3 2" xfId="63" xr:uid="{B66EEA13-F5D4-4E70-8701-A5FF4B8BEB1C}"/>
    <cellStyle name="20% - Акцент2 4 2" xfId="64" xr:uid="{41CC5F60-2185-4234-8A04-F73597001B96}"/>
    <cellStyle name="20% - Акцент2 5 2" xfId="65" xr:uid="{79F4FA5E-3EDE-44BE-92EB-4B42F9E3D565}"/>
    <cellStyle name="20% - Акцент2 6 2" xfId="66" xr:uid="{F7881BF2-5605-40CE-B674-1E2C4712AF14}"/>
    <cellStyle name="20% - Акцент2 7 2" xfId="67" xr:uid="{CF3FDAF0-8625-4F75-9E50-B34092C2FA42}"/>
    <cellStyle name="20% - Акцент2 8 2" xfId="68" xr:uid="{672915B7-566C-4477-997F-30D563091958}"/>
    <cellStyle name="20% - Акцент2 9 2" xfId="69" xr:uid="{FA3847A1-7223-4B77-BB70-8C74462F7197}"/>
    <cellStyle name="20% - Акцент3 10 2" xfId="70" xr:uid="{AF17FBAE-F1FB-4C19-93DD-C5E5D4117505}"/>
    <cellStyle name="20% - Акцент3 11" xfId="71" xr:uid="{4CB9CC87-AE32-4D2B-A90B-DC61696008BB}"/>
    <cellStyle name="20% - Акцент3 2" xfId="72" xr:uid="{6DA3D8B0-89A7-43FF-9AD6-AE3810CA9AB4}"/>
    <cellStyle name="20% - Акцент3 2 2" xfId="73" xr:uid="{37B6198C-3578-4DAF-A0A8-6B9320A5C47D}"/>
    <cellStyle name="20% - Акцент3 3 2" xfId="74" xr:uid="{6E9796EA-198F-43FF-BA92-B0FC59831FDD}"/>
    <cellStyle name="20% - Акцент3 4 2" xfId="75" xr:uid="{2FCFA11C-F403-4811-8F49-F313C3F2245D}"/>
    <cellStyle name="20% - Акцент3 5 2" xfId="76" xr:uid="{81A8F2F2-CDF4-47B8-BEE3-953A151ECA45}"/>
    <cellStyle name="20% - Акцент3 6 2" xfId="77" xr:uid="{4C59C135-A047-4378-9FB2-2ED327C07795}"/>
    <cellStyle name="20% - Акцент3 7 2" xfId="78" xr:uid="{0048CE3D-16B9-4F16-BA31-012A7B5860E9}"/>
    <cellStyle name="20% - Акцент3 8 2" xfId="79" xr:uid="{C1FF0ACC-0F1D-43FD-93FE-ABDDC77AB36D}"/>
    <cellStyle name="20% - Акцент3 9 2" xfId="80" xr:uid="{DC25EE4F-5973-4DA3-A744-65E44F5B5217}"/>
    <cellStyle name="20% - Акцент4 10 2" xfId="81" xr:uid="{8DDAA4F3-64A0-4D94-829E-61820BA4BA49}"/>
    <cellStyle name="20% - Акцент4 11" xfId="82" xr:uid="{0598CA83-74F7-433D-B32F-639B3F78705E}"/>
    <cellStyle name="20% - Акцент4 2" xfId="83" xr:uid="{F3D6E227-209B-4884-9D1C-1CDF45A400F9}"/>
    <cellStyle name="20% - Акцент4 2 2" xfId="84" xr:uid="{2B85111B-E599-4038-AAB3-684802DFEF14}"/>
    <cellStyle name="20% - Акцент4 3 2" xfId="85" xr:uid="{370BF0BD-B402-4031-B846-9A6ED1F96F57}"/>
    <cellStyle name="20% - Акцент4 4 2" xfId="86" xr:uid="{87859FA4-D7AE-48FA-9882-364820085237}"/>
    <cellStyle name="20% - Акцент4 5 2" xfId="87" xr:uid="{58DDBA02-E9AD-42CF-A242-F1EA9E472662}"/>
    <cellStyle name="20% - Акцент4 6 2" xfId="88" xr:uid="{26FDE569-CF82-411B-9246-48BABA246E8A}"/>
    <cellStyle name="20% - Акцент4 7 2" xfId="89" xr:uid="{95B5329B-29D9-4EDE-9B26-FF1F1FE03983}"/>
    <cellStyle name="20% - Акцент4 8 2" xfId="90" xr:uid="{49D65E6C-2F31-4B36-99DE-C4441F9B834F}"/>
    <cellStyle name="20% - Акцент4 9 2" xfId="91" xr:uid="{F54FB6C1-DFEC-482E-8D00-6B07B2AC29C4}"/>
    <cellStyle name="20% - Акцент5 10 2" xfId="92" xr:uid="{9072CD70-6835-4B9A-BC82-98A5FECDB436}"/>
    <cellStyle name="20% - Акцент5 11" xfId="93" xr:uid="{627F4DCA-F4AB-4029-A73D-8E8D693C130F}"/>
    <cellStyle name="20% - Акцент5 2" xfId="94" xr:uid="{6A629999-55EF-447E-BA3B-210ADE74D1D3}"/>
    <cellStyle name="20% - Акцент5 2 2" xfId="95" xr:uid="{94081D5C-9CCD-466E-B9E4-F6A53BF1B46B}"/>
    <cellStyle name="20% - Акцент5 3 2" xfId="96" xr:uid="{2251E590-F496-4885-863C-85EACC938E4E}"/>
    <cellStyle name="20% - Акцент5 4 2" xfId="97" xr:uid="{9AB8A3C3-C769-42DB-9283-8A5C8724D3F1}"/>
    <cellStyle name="20% - Акцент5 5 2" xfId="98" xr:uid="{DACED93B-267B-44BE-95EE-AF37AC846321}"/>
    <cellStyle name="20% - Акцент5 6 2" xfId="99" xr:uid="{E496DC83-65C4-46D6-8511-8F0BDCDF4B5A}"/>
    <cellStyle name="20% - Акцент5 7 2" xfId="100" xr:uid="{DB0C135E-2148-490E-9D7D-54135799ABE2}"/>
    <cellStyle name="20% - Акцент5 8 2" xfId="101" xr:uid="{44D6EA0A-BC64-4932-B2B6-C7A785954700}"/>
    <cellStyle name="20% - Акцент5 9 2" xfId="102" xr:uid="{4070CF38-3116-4B6D-9668-23009CAA3378}"/>
    <cellStyle name="20% - Акцент6 10 2" xfId="103" xr:uid="{460474DE-1AC4-4B5E-9DCA-D2AA4E0027C4}"/>
    <cellStyle name="20% - Акцент6 11" xfId="104" xr:uid="{2BA9A773-0964-4234-AB82-B47BE289EEC2}"/>
    <cellStyle name="20% - Акцент6 2" xfId="105" xr:uid="{30307CB2-473A-4F92-96FD-5D0D52461705}"/>
    <cellStyle name="20% - Акцент6 2 2" xfId="106" xr:uid="{5CEE5988-BA6F-4CD9-8DA0-F0FE79FE50C9}"/>
    <cellStyle name="20% - Акцент6 3 2" xfId="107" xr:uid="{17DCE9FB-D94D-4E10-BA44-8049008735FA}"/>
    <cellStyle name="20% - Акцент6 4 2" xfId="108" xr:uid="{477BB24B-CAAC-4EAD-AAEC-A90642FD8E73}"/>
    <cellStyle name="20% - Акцент6 5 2" xfId="109" xr:uid="{938F1940-6A2E-40CD-B832-3E7767C0983A}"/>
    <cellStyle name="20% - Акцент6 6 2" xfId="110" xr:uid="{26628E51-C2FA-4B5D-8991-4A3ACEA9FA00}"/>
    <cellStyle name="20% - Акцент6 7 2" xfId="111" xr:uid="{996AD052-E241-4746-A0D0-1E996B8FA546}"/>
    <cellStyle name="20% - Акцент6 8 2" xfId="112" xr:uid="{7E1B57F6-2DB2-4212-8723-DE9903019AC7}"/>
    <cellStyle name="20% - Акцент6 9 2" xfId="113" xr:uid="{E04F6935-61D1-4F1D-B825-7932659FD816}"/>
    <cellStyle name="40% - Акцент1 10 2" xfId="114" xr:uid="{39A92E9C-9351-4C61-B4AA-5AD92136162D}"/>
    <cellStyle name="40% - Акцент1 11" xfId="115" xr:uid="{225508B5-860B-44FF-BE15-59276AA6AAC1}"/>
    <cellStyle name="40% - Акцент1 2" xfId="116" xr:uid="{321F3A1A-EA3E-4EF8-8AF8-80613E035A39}"/>
    <cellStyle name="40% - Акцент1 2 2" xfId="117" xr:uid="{6F24EF31-D418-4F01-A4C5-6ACDAC7DF5D6}"/>
    <cellStyle name="40% - Акцент1 3 2" xfId="118" xr:uid="{3FDE418D-A0F2-4380-A722-689E103D431F}"/>
    <cellStyle name="40% - Акцент1 4 2" xfId="119" xr:uid="{0E8D76ED-8685-4837-A430-4D90710292C4}"/>
    <cellStyle name="40% - Акцент1 5 2" xfId="120" xr:uid="{CC25FA69-EB5B-4E75-8752-4012A370BD02}"/>
    <cellStyle name="40% - Акцент1 6 2" xfId="121" xr:uid="{1C61BC18-E99D-4708-8580-E953BF832921}"/>
    <cellStyle name="40% - Акцент1 7 2" xfId="122" xr:uid="{D6773EE2-8CD2-4809-9D21-1773C90EDE2D}"/>
    <cellStyle name="40% - Акцент1 8 2" xfId="123" xr:uid="{8F83F754-50D3-411C-AE05-FB7BFBA9990B}"/>
    <cellStyle name="40% - Акцент1 9 2" xfId="124" xr:uid="{AE21105B-D9FF-4FCC-BFE2-7C5325C91B2F}"/>
    <cellStyle name="40% - Акцент2 10 2" xfId="125" xr:uid="{4F1674FD-7F32-4DDE-B9C1-A0CFFD518B5B}"/>
    <cellStyle name="40% - Акцент2 11" xfId="126" xr:uid="{F9FAFE19-46C4-439C-9D11-40B021403C6C}"/>
    <cellStyle name="40% - Акцент2 2" xfId="127" xr:uid="{068F2C98-E2DA-4660-BB86-7E69E28BD4C4}"/>
    <cellStyle name="40% - Акцент2 2 2" xfId="128" xr:uid="{35EFBFF8-5DA8-4D90-842E-9257474D66F7}"/>
    <cellStyle name="40% - Акцент2 3 2" xfId="129" xr:uid="{0AE558D4-E99B-438A-A987-31BDFC12AB08}"/>
    <cellStyle name="40% - Акцент2 4 2" xfId="130" xr:uid="{372F2965-52FE-43DE-B4DE-52D5B7226C9C}"/>
    <cellStyle name="40% - Акцент2 5 2" xfId="131" xr:uid="{E117F7E4-7BCA-42DE-911E-33D7F47ABF4D}"/>
    <cellStyle name="40% - Акцент2 6 2" xfId="132" xr:uid="{3697819C-1F23-43C4-8D54-9B421FA1E8DB}"/>
    <cellStyle name="40% - Акцент2 7 2" xfId="133" xr:uid="{CD6DDE2D-8107-48A0-8286-6DCC3E42C142}"/>
    <cellStyle name="40% - Акцент2 8 2" xfId="134" xr:uid="{A7EDD13D-B17B-4B89-B58B-94C946FA01D2}"/>
    <cellStyle name="40% - Акцент2 9 2" xfId="135" xr:uid="{7583E392-F4F4-4DA2-90EB-29B325A61D6B}"/>
    <cellStyle name="40% - Акцент3 10 2" xfId="136" xr:uid="{34563741-40B0-4F9A-81B4-39068CBAEBAD}"/>
    <cellStyle name="40% - Акцент3 11" xfId="137" xr:uid="{0CB4F984-8BB2-48CE-B4B8-2A730D521A38}"/>
    <cellStyle name="40% - Акцент3 2" xfId="138" xr:uid="{268463DD-FA3F-4871-89F4-41540F1A527A}"/>
    <cellStyle name="40% - Акцент3 2 2" xfId="139" xr:uid="{1D0E9BF4-DEFE-4C10-BFC2-228ED8265593}"/>
    <cellStyle name="40% - Акцент3 3 2" xfId="140" xr:uid="{18E2B86D-82F0-4D3B-8241-98987934408F}"/>
    <cellStyle name="40% - Акцент3 4 2" xfId="141" xr:uid="{57BA34AA-B0BE-4AAD-800A-EB6AF4F33422}"/>
    <cellStyle name="40% - Акцент3 5 2" xfId="142" xr:uid="{2F21797D-4935-4BB9-A546-862BA2AB7224}"/>
    <cellStyle name="40% - Акцент3 6 2" xfId="143" xr:uid="{A5050019-9973-444E-98A1-5BE4D56C3278}"/>
    <cellStyle name="40% - Акцент3 7 2" xfId="144" xr:uid="{2AC0AACA-B607-4A64-8D98-4C4EC370CE20}"/>
    <cellStyle name="40% - Акцент3 8 2" xfId="145" xr:uid="{9745D334-F170-45BF-974D-46310870F066}"/>
    <cellStyle name="40% - Акцент3 9 2" xfId="146" xr:uid="{FFF57B6D-A8D5-4795-B206-56EC43FDBB2A}"/>
    <cellStyle name="40% - Акцент4 10 2" xfId="147" xr:uid="{8EC5DACA-CE6C-4892-84D1-7AC55BF3A185}"/>
    <cellStyle name="40% - Акцент4 11" xfId="148" xr:uid="{4A8BB7B6-CC4F-48E9-B600-9C016E391199}"/>
    <cellStyle name="40% - Акцент4 2" xfId="149" xr:uid="{42F1E813-D4BC-4AB0-9EAA-51B1B3D10BC8}"/>
    <cellStyle name="40% - Акцент4 2 2" xfId="150" xr:uid="{87AE2A13-62D2-4663-8455-78E9D8672A9E}"/>
    <cellStyle name="40% - Акцент4 3 2" xfId="151" xr:uid="{60C721E8-E2E8-411F-B027-BF4A721B22CA}"/>
    <cellStyle name="40% - Акцент4 4 2" xfId="152" xr:uid="{10550AE4-E9C3-4CDF-8D51-7A24ECB0F0C3}"/>
    <cellStyle name="40% - Акцент4 5 2" xfId="153" xr:uid="{C7E6220D-3837-49C4-B96C-4ECEAD53789C}"/>
    <cellStyle name="40% - Акцент4 6 2" xfId="154" xr:uid="{2CC45AD5-55B8-4124-A17C-51670CDE3E2B}"/>
    <cellStyle name="40% - Акцент4 7 2" xfId="155" xr:uid="{D42BF01C-A6B4-4F97-928D-42AC053253A9}"/>
    <cellStyle name="40% - Акцент4 8 2" xfId="156" xr:uid="{07220C75-76D0-4CCA-BF2B-9529BA297099}"/>
    <cellStyle name="40% - Акцент4 9 2" xfId="157" xr:uid="{784C60D7-E7D9-483C-A3C7-1FBE50F447CD}"/>
    <cellStyle name="40% - Акцент5 10 2" xfId="158" xr:uid="{855E8D73-5CC0-426E-9606-93FBA04AB220}"/>
    <cellStyle name="40% - Акцент5 11" xfId="159" xr:uid="{94C7E4CC-8ED5-4D85-A937-750D092E4E25}"/>
    <cellStyle name="40% - Акцент5 2" xfId="160" xr:uid="{F538ADBF-12B9-4E24-A7D4-ED473F473940}"/>
    <cellStyle name="40% - Акцент5 2 2" xfId="161" xr:uid="{AF2A9887-0E3E-444D-A640-40F85C484D2A}"/>
    <cellStyle name="40% - Акцент5 3 2" xfId="162" xr:uid="{C5C94CD9-7728-41E5-AD7B-F2F81A2E8D04}"/>
    <cellStyle name="40% - Акцент5 4 2" xfId="163" xr:uid="{12748974-CE58-4A54-9EA4-5CED12956029}"/>
    <cellStyle name="40% - Акцент5 5 2" xfId="164" xr:uid="{DDCD5252-C672-4EAC-8E0A-8EF59A6FD4CC}"/>
    <cellStyle name="40% - Акцент5 6 2" xfId="165" xr:uid="{1B69ADEB-99D5-4198-9939-A46354A9F8FB}"/>
    <cellStyle name="40% - Акцент5 7 2" xfId="166" xr:uid="{84B42599-E470-4D2A-ADEC-8B67FB06D734}"/>
    <cellStyle name="40% - Акцент5 8 2" xfId="167" xr:uid="{E3A13E21-8B75-453A-99EC-894E5E4E513F}"/>
    <cellStyle name="40% - Акцент5 9 2" xfId="168" xr:uid="{BECC76B5-93B5-4D02-9947-32C97B8C10BF}"/>
    <cellStyle name="40% - Акцент6 10 2" xfId="169" xr:uid="{C82CCCBB-FBDA-4FD8-A93D-A3B28824C8C2}"/>
    <cellStyle name="40% - Акцент6 11" xfId="170" xr:uid="{5BBE85DE-E754-45AE-9D01-C7BE79CE2C61}"/>
    <cellStyle name="40% - Акцент6 2" xfId="171" xr:uid="{FD37B882-79C2-4B29-A4E9-E801E8E9E434}"/>
    <cellStyle name="40% - Акцент6 2 2" xfId="172" xr:uid="{DE8ECBC1-13E7-4D1B-98D3-3E6A218C48D7}"/>
    <cellStyle name="40% - Акцент6 3 2" xfId="173" xr:uid="{DCC2D2EF-6730-4C14-8E5C-3DCAA6D97EB8}"/>
    <cellStyle name="40% - Акцент6 4 2" xfId="174" xr:uid="{F9153162-B2B6-4F77-8C7C-8AAFB05CF08F}"/>
    <cellStyle name="40% - Акцент6 5 2" xfId="175" xr:uid="{03207DFB-7C3E-4CF3-9EEA-763046E95EBF}"/>
    <cellStyle name="40% - Акцент6 6 2" xfId="176" xr:uid="{1CF1E327-741A-424E-B1AC-E9F4EAC30D40}"/>
    <cellStyle name="40% - Акцент6 7 2" xfId="177" xr:uid="{C1AB3098-6880-4BA6-99E0-A09B1263408B}"/>
    <cellStyle name="40% - Акцент6 8 2" xfId="178" xr:uid="{1704C40F-AA34-4D41-8EFE-D6D7C89F2666}"/>
    <cellStyle name="40% - Акцент6 9 2" xfId="179" xr:uid="{647A7224-D6BC-40AC-888E-8CCA27625EED}"/>
    <cellStyle name="60% - Акцент1 10 2" xfId="180" xr:uid="{234BC2DB-4FC5-418B-9FB8-93AC9F25993C}"/>
    <cellStyle name="60% - Акцент1 11" xfId="181" xr:uid="{BE9B8DC7-E6C4-47D2-AAA6-07EA84B3C25F}"/>
    <cellStyle name="60% - Акцент1 2" xfId="182" xr:uid="{EEA78929-502C-4997-8EB7-5AE145E6E824}"/>
    <cellStyle name="60% - Акцент1 2 2" xfId="183" xr:uid="{9B967458-6DC0-434B-8D85-564D955AD4F2}"/>
    <cellStyle name="60% - Акцент1 3 2" xfId="184" xr:uid="{F8CE82D5-8E11-4EA0-A388-32F9E6B0B59B}"/>
    <cellStyle name="60% - Акцент1 4 2" xfId="185" xr:uid="{478F7602-9146-4323-A246-331440F09F64}"/>
    <cellStyle name="60% - Акцент1 5 2" xfId="186" xr:uid="{45D10315-6AEC-4E9E-AB34-8FB52C0F1E44}"/>
    <cellStyle name="60% - Акцент1 6 2" xfId="187" xr:uid="{07F55025-48D9-4A7A-8A50-60664C6D3EB0}"/>
    <cellStyle name="60% - Акцент1 7 2" xfId="188" xr:uid="{05B6EECE-495F-4623-91B1-DA5DE7BC6576}"/>
    <cellStyle name="60% - Акцент1 8 2" xfId="189" xr:uid="{722261F5-1BA2-404C-A1E9-15FA0605F05B}"/>
    <cellStyle name="60% - Акцент1 9 2" xfId="190" xr:uid="{2BCB93AA-6437-42AB-A897-5132EB278A09}"/>
    <cellStyle name="60% - Акцент2 10 2" xfId="191" xr:uid="{3BF63819-2D73-4453-982A-4B05D12A1898}"/>
    <cellStyle name="60% - Акцент2 11" xfId="192" xr:uid="{03E01E4A-7423-4545-A34F-2B601E3CF592}"/>
    <cellStyle name="60% - Акцент2 2" xfId="193" xr:uid="{40AE4F17-E4CF-41CA-A00E-DE6F3B5CE00A}"/>
    <cellStyle name="60% - Акцент2 2 2" xfId="194" xr:uid="{9323DDF9-1D4B-4604-8FD3-66F195B0F236}"/>
    <cellStyle name="60% - Акцент2 3 2" xfId="195" xr:uid="{090A4DF3-ABDD-4EBF-AC39-14C657C35871}"/>
    <cellStyle name="60% - Акцент2 4 2" xfId="196" xr:uid="{AAAAC8FE-BB9F-44CC-981F-662529A79243}"/>
    <cellStyle name="60% - Акцент2 5 2" xfId="197" xr:uid="{D6A6479D-0FCB-439B-A8C8-2AABE8480F81}"/>
    <cellStyle name="60% - Акцент2 6 2" xfId="198" xr:uid="{4B632E94-596A-4D5A-95D4-4321A43009D5}"/>
    <cellStyle name="60% - Акцент2 7 2" xfId="199" xr:uid="{47EB3D0E-DF90-4DEA-9DAE-6727EB81F184}"/>
    <cellStyle name="60% - Акцент2 8 2" xfId="200" xr:uid="{15915532-C931-4976-891C-4F8911E45507}"/>
    <cellStyle name="60% - Акцент2 9 2" xfId="201" xr:uid="{70C17158-A1A7-4204-9433-08485E9838A6}"/>
    <cellStyle name="60% - Акцент3 10 2" xfId="202" xr:uid="{5CFAD3C9-4AB2-4989-AD35-867F7ECA706F}"/>
    <cellStyle name="60% - Акцент3 11" xfId="203" xr:uid="{36F0D789-AB50-42C4-8112-9D6587709326}"/>
    <cellStyle name="60% - Акцент3 2" xfId="204" xr:uid="{DF9105B8-F6FA-451C-A693-E669EC414A2C}"/>
    <cellStyle name="60% - Акцент3 2 2" xfId="205" xr:uid="{404ECAC3-9707-4765-A147-E83020ADB67A}"/>
    <cellStyle name="60% - Акцент3 3 2" xfId="206" xr:uid="{E506D7F6-441F-4DDE-8C68-15200B7D19B9}"/>
    <cellStyle name="60% - Акцент3 4 2" xfId="207" xr:uid="{86D01F67-3D84-4FC1-A7AC-9AFEF8C58659}"/>
    <cellStyle name="60% - Акцент3 5 2" xfId="208" xr:uid="{400397B3-0106-403B-A2ED-E711C01CDD22}"/>
    <cellStyle name="60% - Акцент3 6 2" xfId="209" xr:uid="{04EB02DC-B7A4-42D6-8C73-B5CD83B60757}"/>
    <cellStyle name="60% - Акцент3 7 2" xfId="210" xr:uid="{19FE9C12-9345-44D0-B7DB-49A65E2EAB07}"/>
    <cellStyle name="60% - Акцент3 8 2" xfId="211" xr:uid="{AAD3DFBD-7D98-4BCD-8785-4AF4388DBEF2}"/>
    <cellStyle name="60% - Акцент3 9 2" xfId="212" xr:uid="{886D55C2-3D32-4AC2-9312-5910906D8492}"/>
    <cellStyle name="60% - Акцент4 10 2" xfId="213" xr:uid="{F4D3F948-3E3A-48C0-A13D-EB5622CFD928}"/>
    <cellStyle name="60% - Акцент4 11" xfId="214" xr:uid="{AC7DCB38-BB82-44F5-AE24-1965F097D402}"/>
    <cellStyle name="60% - Акцент4 2" xfId="215" xr:uid="{1AE1848A-E25C-4BE2-8FFD-CC09465DB58F}"/>
    <cellStyle name="60% - Акцент4 2 2" xfId="216" xr:uid="{C0EA3388-E2C5-457C-9639-3137CD9519E8}"/>
    <cellStyle name="60% - Акцент4 3 2" xfId="217" xr:uid="{391443C2-4EB3-4E2E-94CB-799BBE6983E8}"/>
    <cellStyle name="60% - Акцент4 4 2" xfId="218" xr:uid="{F39C4CFA-06A3-40D1-9B4C-99AC326EC4DA}"/>
    <cellStyle name="60% - Акцент4 5 2" xfId="219" xr:uid="{7860B7A2-B9D4-4D94-96E9-D28176300EBA}"/>
    <cellStyle name="60% - Акцент4 6 2" xfId="220" xr:uid="{AA41F4DF-C735-44AB-A086-5DB65B9C568F}"/>
    <cellStyle name="60% - Акцент4 7 2" xfId="221" xr:uid="{C659CFB0-E49A-46E5-97CB-417932E3634F}"/>
    <cellStyle name="60% - Акцент4 8 2" xfId="222" xr:uid="{519E11E0-DDC7-4F58-ADC9-8782892F338A}"/>
    <cellStyle name="60% - Акцент4 9 2" xfId="223" xr:uid="{46ABAB14-3F53-403F-9CFE-856F4D169F2D}"/>
    <cellStyle name="60% - Акцент5 10 2" xfId="224" xr:uid="{6B0B931E-F515-4F19-9619-3A16FE9D4617}"/>
    <cellStyle name="60% - Акцент5 11" xfId="225" xr:uid="{0553C2A5-196E-41EB-B3BE-3D7239FA3C3E}"/>
    <cellStyle name="60% - Акцент5 2" xfId="226" xr:uid="{6ED70B98-BC58-4032-A2FD-C0B5EFC9B9CE}"/>
    <cellStyle name="60% - Акцент5 2 2" xfId="227" xr:uid="{31B95101-875D-4B65-8FA6-FBC26F24EB24}"/>
    <cellStyle name="60% - Акцент5 3 2" xfId="228" xr:uid="{2206CA33-D061-4534-A273-5C437CC9967F}"/>
    <cellStyle name="60% - Акцент5 4 2" xfId="229" xr:uid="{596E1039-6A17-45F2-A65A-E8B793489DAB}"/>
    <cellStyle name="60% - Акцент5 5 2" xfId="230" xr:uid="{D9C0ABAC-B09C-40F8-8072-663FDBD174B8}"/>
    <cellStyle name="60% - Акцент5 6 2" xfId="231" xr:uid="{A7D02DAE-C083-4597-BA18-3D15F24BBC45}"/>
    <cellStyle name="60% - Акцент5 7 2" xfId="232" xr:uid="{7F83A069-B370-4907-93D0-185EBB39DEA3}"/>
    <cellStyle name="60% - Акцент5 8 2" xfId="233" xr:uid="{4508093D-377A-4A83-9613-68199619F6F7}"/>
    <cellStyle name="60% - Акцент5 9 2" xfId="234" xr:uid="{638D495F-0372-4A4A-9235-0F196CB8B03C}"/>
    <cellStyle name="60% - Акцент6 10 2" xfId="235" xr:uid="{06F40D63-B43C-42F9-8C69-E9620C99E2C3}"/>
    <cellStyle name="60% - Акцент6 11" xfId="236" xr:uid="{2B547A2C-CD1D-41F6-A156-7A49258EC8C6}"/>
    <cellStyle name="60% - Акцент6 2" xfId="237" xr:uid="{1A33148E-049C-41FE-84DB-FFF21B4895C0}"/>
    <cellStyle name="60% - Акцент6 2 2" xfId="238" xr:uid="{EC0AF4EC-9057-4A59-A3AD-120DBE9B539D}"/>
    <cellStyle name="60% - Акцент6 3 2" xfId="239" xr:uid="{6516E540-FCD0-454E-BAC7-3C1D9139BE93}"/>
    <cellStyle name="60% - Акцент6 4 2" xfId="240" xr:uid="{0EB16AAD-B435-4D81-B162-B1FBE44DC5E7}"/>
    <cellStyle name="60% - Акцент6 5 2" xfId="241" xr:uid="{EEDCA9EC-79C1-451A-9FE9-39AE0BBA15EC}"/>
    <cellStyle name="60% - Акцент6 6 2" xfId="242" xr:uid="{308E85D6-D3DE-4E98-92BB-B1015FFC96F5}"/>
    <cellStyle name="60% - Акцент6 7 2" xfId="243" xr:uid="{49F2DB7E-FAC7-4C27-8B33-048AFDDC0352}"/>
    <cellStyle name="60% - Акцент6 8 2" xfId="244" xr:uid="{5BF953EF-67D8-4F45-BFA4-8436C39DCED1}"/>
    <cellStyle name="60% - Акцент6 9 2" xfId="245" xr:uid="{338B1A7D-252F-49A1-B72B-6417007C0BEB}"/>
    <cellStyle name="Comma [0]" xfId="246" xr:uid="{5103EC33-6A70-43F2-81F6-F2A85E82CF20}"/>
    <cellStyle name="Comma_irl tel sep5" xfId="247" xr:uid="{1518F89A-B27A-496E-A6A4-E768ABA6A719}"/>
    <cellStyle name="Currency [0]" xfId="248" xr:uid="{E4D1C517-8CE8-4940-B36B-E85A4B870EF2}"/>
    <cellStyle name="Currency_irl tel sep5" xfId="249" xr:uid="{EDB6B4CC-0A35-42C0-8CDB-7D1378BAA04D}"/>
    <cellStyle name="Excel Built-in Normal" xfId="250" xr:uid="{7BE0A8BD-0AD4-497D-860C-0705AB797A6E}"/>
    <cellStyle name="Grey" xfId="251" xr:uid="{D9B9C609-4534-422E-AD57-A0AB2699C73C}"/>
    <cellStyle name="Input [yellow]" xfId="252" xr:uid="{4185022F-C589-43EB-86D2-84BF375CE19D}"/>
    <cellStyle name="Input [yellow] 2" xfId="253" xr:uid="{98E3C98E-9364-4039-8493-3C789611A2B8}"/>
    <cellStyle name="Input [yellow] 2 2" xfId="254" xr:uid="{218290AB-284D-4354-88E6-9EEFDC54EAEF}"/>
    <cellStyle name="Input [yellow] 2 2 2" xfId="1618" xr:uid="{03108842-A88A-4D99-B8E2-B1E52CD80A5A}"/>
    <cellStyle name="Input [yellow] 2 3" xfId="255" xr:uid="{5DE892DD-15E6-48BA-9D0F-4393164F834D}"/>
    <cellStyle name="Input [yellow] 2 3 2" xfId="1619" xr:uid="{E8BEC7A9-F4D2-4433-9D52-E14246E77557}"/>
    <cellStyle name="Input [yellow] 2 4" xfId="256" xr:uid="{EB19EB88-C424-4A7F-B87D-6A3F96C85C71}"/>
    <cellStyle name="Input [yellow] 2 4 2" xfId="1620" xr:uid="{F9F16565-55B1-4E01-B8D5-6CA8B8ED7ED5}"/>
    <cellStyle name="Input [yellow] 2 5" xfId="257" xr:uid="{2850422F-9C04-4148-94CC-CFE577253DED}"/>
    <cellStyle name="Input [yellow] 2 5 2" xfId="1621" xr:uid="{F73FD2FD-A694-4F8E-9945-4C01BEBEA0C6}"/>
    <cellStyle name="Input [yellow] 2 6" xfId="258" xr:uid="{D907D1EF-DB9F-453D-AC54-8F756AC82CD1}"/>
    <cellStyle name="Input [yellow] 2 6 2" xfId="1622" xr:uid="{EA7ABAA0-370D-4734-B206-3CAC30CC9A7B}"/>
    <cellStyle name="Input [yellow] 2 7" xfId="259" xr:uid="{BCF98B36-6972-4261-B2D2-399542819270}"/>
    <cellStyle name="Input [yellow] 2 7 2" xfId="1623" xr:uid="{A4366B15-71A8-4D50-9726-5B5B5C804C62}"/>
    <cellStyle name="Input [yellow] 2 8" xfId="1617" xr:uid="{F778CF1D-C772-46C6-82E9-ABB5639D0D19}"/>
    <cellStyle name="Input [yellow] 3" xfId="1616" xr:uid="{3838377D-26A7-44E1-B304-7AEF32947D13}"/>
    <cellStyle name="Normal - Style1" xfId="260" xr:uid="{01DE3FFD-1E90-4DB1-B731-8D5D04655205}"/>
    <cellStyle name="Normal 2" xfId="261" xr:uid="{AB061D86-0A22-4BFB-983B-03ADD1D49147}"/>
    <cellStyle name="Normal_1702H" xfId="262" xr:uid="{00A51FE3-A96B-46EE-A930-08383737F0A3}"/>
    <cellStyle name="normбlnм_laroux" xfId="263" xr:uid="{C54DB3EE-6983-45AD-B2A1-6D1EC58360EA}"/>
    <cellStyle name="Percent [2]" xfId="264" xr:uid="{B1BD0598-D0CD-4DE3-8F98-31DBE0A8E311}"/>
    <cellStyle name="SsrChapter" xfId="265" xr:uid="{2BA50EA6-68E7-4718-B5D9-2A0631AA43C9}"/>
    <cellStyle name="Акт" xfId="266" xr:uid="{3F00F1CC-5863-4EC5-80B9-9FA7FF29BF86}"/>
    <cellStyle name="Акт 2" xfId="267" xr:uid="{32F1D20A-58CC-4813-B2BE-E197F06F7C5B}"/>
    <cellStyle name="Акт 2 2" xfId="1625" xr:uid="{3BCDA8DD-00C6-4537-94E6-7C04CC11AE19}"/>
    <cellStyle name="Акт 3" xfId="1624" xr:uid="{9BCA42ED-E853-49F6-A55B-0F79A2B79A6E}"/>
    <cellStyle name="АктМТСН" xfId="268" xr:uid="{49EE01B4-9389-4840-881C-D18072090D1E}"/>
    <cellStyle name="Акцент1 10 2" xfId="269" xr:uid="{07F8904D-DDB8-4C8C-9F34-E10B5D9C0600}"/>
    <cellStyle name="Акцент1 11" xfId="270" xr:uid="{5C4B6333-9EC1-42C7-BA37-9FE91F64A670}"/>
    <cellStyle name="Акцент1 2" xfId="271" xr:uid="{D23250A7-3E24-44AA-AADF-47B121CFF3C6}"/>
    <cellStyle name="Акцент1 2 2" xfId="272" xr:uid="{BAC13D86-F452-48FC-9005-FED7115824F0}"/>
    <cellStyle name="Акцент1 3 2" xfId="273" xr:uid="{19C08215-350E-4D06-9ECA-C4083344F89E}"/>
    <cellStyle name="Акцент1 4 2" xfId="274" xr:uid="{6BE07B3A-AD0D-4501-8CBF-6A0C8CF69B27}"/>
    <cellStyle name="Акцент1 5 2" xfId="275" xr:uid="{93A26FC6-FD69-46AE-AF70-D7EC9695FD0D}"/>
    <cellStyle name="Акцент1 6 2" xfId="276" xr:uid="{9E474193-7DB0-4031-9966-59CCDCE0AC57}"/>
    <cellStyle name="Акцент1 7 2" xfId="277" xr:uid="{AB2648DD-8AFB-4711-ADD0-D68B1BEA8636}"/>
    <cellStyle name="Акцент1 8 2" xfId="278" xr:uid="{DFE5E1A7-AFD7-4EEC-9566-1A2BEAAF7524}"/>
    <cellStyle name="Акцент1 9 2" xfId="279" xr:uid="{53ACEB8B-1AFA-42CE-BD3D-1F03174D7E14}"/>
    <cellStyle name="Акцент2 10 2" xfId="280" xr:uid="{EACD56F5-24A1-4709-B8DE-0F6268823966}"/>
    <cellStyle name="Акцент2 11" xfId="281" xr:uid="{53DB375D-3B0E-4040-91B1-C491A92B3BA3}"/>
    <cellStyle name="Акцент2 2" xfId="282" xr:uid="{965B0A55-4FE9-4F4C-8D0D-702EE3B426CE}"/>
    <cellStyle name="Акцент2 2 2" xfId="283" xr:uid="{91059851-F488-4435-8FE5-3A2A287BE3E9}"/>
    <cellStyle name="Акцент2 3 2" xfId="284" xr:uid="{07311A7C-BB66-4C56-BFEF-5CEA3E5B7263}"/>
    <cellStyle name="Акцент2 4 2" xfId="285" xr:uid="{74D12EC6-6E11-436A-B4CC-8F9E25682AF8}"/>
    <cellStyle name="Акцент2 5 2" xfId="286" xr:uid="{A1A2C268-C0DC-443C-AD42-F7833A8886AF}"/>
    <cellStyle name="Акцент2 6 2" xfId="287" xr:uid="{D953D4F3-6634-4BB5-804E-7FBE7464EFA2}"/>
    <cellStyle name="Акцент2 7 2" xfId="288" xr:uid="{E23D8F85-1323-488F-9700-110C41E34607}"/>
    <cellStyle name="Акцент2 8 2" xfId="289" xr:uid="{5F816639-E892-48F0-AF79-A80A35FCAA66}"/>
    <cellStyle name="Акцент2 9 2" xfId="290" xr:uid="{091B8B9C-0E43-4068-B9D0-B023F78936D7}"/>
    <cellStyle name="Акцент3 10 2" xfId="291" xr:uid="{A915D1EF-528E-474E-9A69-91C8154739FA}"/>
    <cellStyle name="Акцент3 11" xfId="292" xr:uid="{D9F18519-0CAC-4E53-A2E8-1AE933958DC2}"/>
    <cellStyle name="Акцент3 2" xfId="293" xr:uid="{CDCCE164-9C57-4DCB-86DB-4B6D3535AB1A}"/>
    <cellStyle name="Акцент3 2 2" xfId="294" xr:uid="{63F2ABA3-27D5-4B2E-BF3F-9CB979981F6E}"/>
    <cellStyle name="Акцент3 3 2" xfId="295" xr:uid="{0DB20460-01DB-4F53-8705-6F814EB26091}"/>
    <cellStyle name="Акцент3 4 2" xfId="296" xr:uid="{B9FBA64E-C8AD-4B8E-83CC-D193D1930772}"/>
    <cellStyle name="Акцент3 5 2" xfId="297" xr:uid="{DB949C9E-3C26-47D4-BFB7-72D61FCA8B91}"/>
    <cellStyle name="Акцент3 6 2" xfId="298" xr:uid="{CF47765E-CBD5-449F-B443-CED308FADB61}"/>
    <cellStyle name="Акцент3 7 2" xfId="299" xr:uid="{C9DD99C7-1FE8-483C-B374-3BAC19F1073E}"/>
    <cellStyle name="Акцент3 8 2" xfId="300" xr:uid="{DE9DF001-A0A5-4793-99A3-19788D2EF0CB}"/>
    <cellStyle name="Акцент3 9 2" xfId="301" xr:uid="{3B8F9A60-B014-46B3-94AE-4CB278D0FE35}"/>
    <cellStyle name="Акцент4 10 2" xfId="302" xr:uid="{CCBFB274-C62A-4B26-A191-66392716F8A2}"/>
    <cellStyle name="Акцент4 11" xfId="303" xr:uid="{B3C7122B-B4DB-40B7-94E6-4155EA05853C}"/>
    <cellStyle name="Акцент4 2" xfId="304" xr:uid="{D4C47926-EB6E-412D-9B04-CCBC602C9EA0}"/>
    <cellStyle name="Акцент4 2 2" xfId="305" xr:uid="{871A3656-F48F-4EA8-81C2-99569CAACB44}"/>
    <cellStyle name="Акцент4 3 2" xfId="306" xr:uid="{DF832DDA-E2F5-4B90-A878-F390F5D9F2CB}"/>
    <cellStyle name="Акцент4 4 2" xfId="307" xr:uid="{25B92AAB-0CE7-4ADF-AE38-6B0B68884F91}"/>
    <cellStyle name="Акцент4 5 2" xfId="308" xr:uid="{8706770D-B804-4D08-9216-F5ECB8F65A7E}"/>
    <cellStyle name="Акцент4 6 2" xfId="309" xr:uid="{20D2C99E-4479-4893-BBC9-7A78EA38441F}"/>
    <cellStyle name="Акцент4 7 2" xfId="310" xr:uid="{4E37C25A-D56A-48E5-B6A2-61BC574B84A6}"/>
    <cellStyle name="Акцент4 8 2" xfId="311" xr:uid="{F14807AC-D6B3-43E5-914E-A2DD1FEC984A}"/>
    <cellStyle name="Акцент4 9 2" xfId="312" xr:uid="{D1549F6B-DAF0-40F0-811A-7AC3CCB43972}"/>
    <cellStyle name="Акцент5 10 2" xfId="313" xr:uid="{DD701C55-C262-4A2A-AE6A-CF2EF9A5F7CA}"/>
    <cellStyle name="Акцент5 11" xfId="314" xr:uid="{F93B9B4D-94BA-4FF7-A3BB-8F6C1003D728}"/>
    <cellStyle name="Акцент5 2" xfId="315" xr:uid="{8A3D698E-CE86-4F41-9AE6-4CD7F73737FD}"/>
    <cellStyle name="Акцент5 2 2" xfId="316" xr:uid="{2688D6F1-5960-4D49-B44E-CCCF03D6920C}"/>
    <cellStyle name="Акцент5 3 2" xfId="317" xr:uid="{5BD0ADBD-4B06-451A-B1A5-F25F0F69854C}"/>
    <cellStyle name="Акцент5 4 2" xfId="318" xr:uid="{58C03B60-F59C-494F-8F2D-8E7264CAE80E}"/>
    <cellStyle name="Акцент5 5 2" xfId="319" xr:uid="{76627E70-E434-4811-973A-8DB3F1C81C2B}"/>
    <cellStyle name="Акцент5 6 2" xfId="320" xr:uid="{B7B2505F-9FCC-4138-B559-0124EE5FA434}"/>
    <cellStyle name="Акцент5 7 2" xfId="321" xr:uid="{7DF57797-71AB-4925-9A34-BD6BAE4C9F06}"/>
    <cellStyle name="Акцент5 8 2" xfId="322" xr:uid="{C5BAFC4B-A162-4458-BA3B-67E48A76D606}"/>
    <cellStyle name="Акцент5 9 2" xfId="323" xr:uid="{57E240B9-0DED-46B9-8A1B-E281C39D4765}"/>
    <cellStyle name="Акцент6 10 2" xfId="324" xr:uid="{9963CAF9-E974-4A6E-904E-9BD130A7D487}"/>
    <cellStyle name="Акцент6 11" xfId="325" xr:uid="{05C9516F-B79C-40EC-99EA-53BA0B814429}"/>
    <cellStyle name="Акцент6 2" xfId="326" xr:uid="{47797902-30D8-42F5-B773-1FD8C7C64EB1}"/>
    <cellStyle name="Акцент6 2 2" xfId="327" xr:uid="{8DB60469-5DAF-4D1F-8335-24E876F7AD97}"/>
    <cellStyle name="Акцент6 3 2" xfId="328" xr:uid="{241B9D47-B109-4A9C-B839-F45F2BC4362A}"/>
    <cellStyle name="Акцент6 4 2" xfId="329" xr:uid="{4E02CC31-2688-4094-859E-695AC1BEB60D}"/>
    <cellStyle name="Акцент6 5 2" xfId="330" xr:uid="{E3961DBF-439E-4F90-AB62-33C750D2F5E8}"/>
    <cellStyle name="Акцент6 6 2" xfId="331" xr:uid="{2874FE86-10CF-4997-AA60-665C1A4BFE58}"/>
    <cellStyle name="Акцент6 7 2" xfId="332" xr:uid="{6CA8D534-CCFE-4424-BC38-F7FE6F01C733}"/>
    <cellStyle name="Акцент6 8 2" xfId="333" xr:uid="{FA3E36BF-6A79-4FE3-AF50-D797EBF9470D}"/>
    <cellStyle name="Акцент6 9 2" xfId="334" xr:uid="{43A36D90-DDFE-4EC6-B0C7-1C35D5C08C3D}"/>
    <cellStyle name="Ввод  10 2" xfId="335" xr:uid="{5D0B0FB8-B0D7-448E-95FB-27B20B26E326}"/>
    <cellStyle name="Ввод  10 2 2" xfId="336" xr:uid="{BCEFE939-66D1-4AF4-9227-E5E477F824E6}"/>
    <cellStyle name="Ввод  10 2 3" xfId="337" xr:uid="{B8E1C4F2-DB8A-465F-B294-C63995BEF853}"/>
    <cellStyle name="Ввод  10 2 4" xfId="338" xr:uid="{5C6377EC-B956-4FD3-B450-42198833C970}"/>
    <cellStyle name="Ввод  10 2 5" xfId="339" xr:uid="{3AC9532B-181C-489C-AE3F-53B8DFFB4D49}"/>
    <cellStyle name="Ввод  10 2 6" xfId="340" xr:uid="{5376F27A-B831-4F9F-93A2-D5F26CB2E7AF}"/>
    <cellStyle name="Ввод  10 2 7" xfId="341" xr:uid="{491B4F3F-50FD-4C7D-A514-591AD99323F9}"/>
    <cellStyle name="Ввод  11" xfId="342" xr:uid="{A2D4F8F9-8CD2-40BF-9C92-7E3CFFAF5BA7}"/>
    <cellStyle name="Ввод  11 2" xfId="343" xr:uid="{B686A4B9-CEC4-4E3D-8E8E-49166E3CFD83}"/>
    <cellStyle name="Ввод  11 3" xfId="344" xr:uid="{0ECB8AC2-0314-4B03-90F8-A539ABE93F84}"/>
    <cellStyle name="Ввод  11 4" xfId="345" xr:uid="{445CCD1B-D6C5-4713-87E2-B3420E02FC2C}"/>
    <cellStyle name="Ввод  11 5" xfId="346" xr:uid="{A5FE4138-D7BD-4FA0-BDBA-9C587B618656}"/>
    <cellStyle name="Ввод  11 6" xfId="347" xr:uid="{2B2C3C3D-CF0B-4AAB-9848-EFF55ADA5F26}"/>
    <cellStyle name="Ввод  11 7" xfId="348" xr:uid="{26BDF7AC-157D-4B75-A8D7-42E93CAD1CC8}"/>
    <cellStyle name="Ввод  2" xfId="349" xr:uid="{1FE79278-3C03-4930-A612-37DD824CB872}"/>
    <cellStyle name="Ввод  2 2" xfId="350" xr:uid="{5399E3D3-4E17-4880-8A78-BB6C38216C2F}"/>
    <cellStyle name="Ввод  2 2 2" xfId="351" xr:uid="{4C46B9AD-C202-454A-934A-5CD311F8511C}"/>
    <cellStyle name="Ввод  2 2 3" xfId="352" xr:uid="{EAD2A51E-9D9F-456C-8A6D-3574843580A8}"/>
    <cellStyle name="Ввод  2 2 4" xfId="353" xr:uid="{560EA1AE-8D64-4812-A6A0-88959173C35A}"/>
    <cellStyle name="Ввод  2 2 5" xfId="354" xr:uid="{DEF15399-3192-4126-B82F-617F7CEF269D}"/>
    <cellStyle name="Ввод  2 2 6" xfId="355" xr:uid="{F3217604-8ABF-4403-B321-F2FFC4B03452}"/>
    <cellStyle name="Ввод  2 2 7" xfId="356" xr:uid="{DBAB1671-0453-4910-BDC1-BC2B165704E0}"/>
    <cellStyle name="Ввод  2 3" xfId="357" xr:uid="{95203B10-52BF-4695-8E96-4945D7203929}"/>
    <cellStyle name="Ввод  2 4" xfId="358" xr:uid="{F0A73A21-E199-407F-83B2-1E983064957D}"/>
    <cellStyle name="Ввод  2 5" xfId="359" xr:uid="{9D002066-DF92-4B5F-903A-8B1B7592EC66}"/>
    <cellStyle name="Ввод  2 6" xfId="360" xr:uid="{2689B863-0CD4-475A-98A2-C039166A972E}"/>
    <cellStyle name="Ввод  2 7" xfId="361" xr:uid="{E8941FC1-EFA1-4A20-B4A6-C5CEF26BB487}"/>
    <cellStyle name="Ввод  2 8" xfId="362" xr:uid="{1D253FC4-0C75-44EC-95A3-4118F5BA5279}"/>
    <cellStyle name="Ввод  3 2" xfId="363" xr:uid="{89C4A446-FE39-42C5-8AAD-1722C18A8ADB}"/>
    <cellStyle name="Ввод  3 2 2" xfId="364" xr:uid="{D147423D-8D2F-4C5A-9FAD-18C95E8A936D}"/>
    <cellStyle name="Ввод  3 2 3" xfId="365" xr:uid="{FD914727-A22C-4C06-97A5-F5A82360119A}"/>
    <cellStyle name="Ввод  3 2 4" xfId="366" xr:uid="{FF51A9BF-FFBB-46CA-B0C4-CB0B9A0383AB}"/>
    <cellStyle name="Ввод  3 2 5" xfId="367" xr:uid="{5B0491A9-D705-4550-9817-FD0397AD74C5}"/>
    <cellStyle name="Ввод  3 2 6" xfId="368" xr:uid="{A6EA8F34-2203-4B1A-9E92-BEFB2665B1A8}"/>
    <cellStyle name="Ввод  3 2 7" xfId="369" xr:uid="{4BFFF06B-CCC6-49B9-BB71-5EB4D23A9321}"/>
    <cellStyle name="Ввод  4 2" xfId="370" xr:uid="{5792D613-C8AD-422C-80C0-8123F0FD8B55}"/>
    <cellStyle name="Ввод  4 2 2" xfId="371" xr:uid="{E348C1C9-2D54-48E1-96CA-676D341BC6DC}"/>
    <cellStyle name="Ввод  4 2 3" xfId="372" xr:uid="{2869173B-B77A-458D-9553-18C1288C4212}"/>
    <cellStyle name="Ввод  4 2 4" xfId="373" xr:uid="{AE11FB3B-8AB6-4688-A6D5-DB31D7BBA81B}"/>
    <cellStyle name="Ввод  4 2 5" xfId="374" xr:uid="{AA62F0B3-0463-4CA4-8B0D-4C070C883172}"/>
    <cellStyle name="Ввод  4 2 6" xfId="375" xr:uid="{4A090A66-8843-4027-9951-A974866D3603}"/>
    <cellStyle name="Ввод  4 2 7" xfId="376" xr:uid="{407535DF-B893-4F13-BF92-4B0514938999}"/>
    <cellStyle name="Ввод  5 2" xfId="377" xr:uid="{988D57A2-71B7-41ED-9C1B-718A725E9634}"/>
    <cellStyle name="Ввод  5 2 2" xfId="378" xr:uid="{23E789C6-BA24-4BE2-AB41-3306583286C8}"/>
    <cellStyle name="Ввод  5 2 3" xfId="379" xr:uid="{D181097F-6574-432D-927F-1CBBB82E7208}"/>
    <cellStyle name="Ввод  5 2 4" xfId="380" xr:uid="{D3498394-7202-4C10-B912-A7E66882C61B}"/>
    <cellStyle name="Ввод  5 2 5" xfId="381" xr:uid="{EB4C216D-C49F-4414-A10B-7A94F508B0BE}"/>
    <cellStyle name="Ввод  5 2 6" xfId="382" xr:uid="{D6B8A4CC-79A9-4A23-869B-65C3B66E1E85}"/>
    <cellStyle name="Ввод  5 2 7" xfId="383" xr:uid="{2A0E5F7F-4213-4D1B-A4C4-6565558BF14F}"/>
    <cellStyle name="Ввод  6 2" xfId="384" xr:uid="{3B3572E9-909D-4C23-9180-FE9D67825A48}"/>
    <cellStyle name="Ввод  6 2 2" xfId="385" xr:uid="{A9BD3E1C-CB4F-4033-82AE-21B0DF265B14}"/>
    <cellStyle name="Ввод  6 2 3" xfId="386" xr:uid="{E2FB60AF-437C-44BE-B9CB-7C45B5335C18}"/>
    <cellStyle name="Ввод  6 2 4" xfId="387" xr:uid="{C40CF013-541C-4BE7-B253-D5665DA494B9}"/>
    <cellStyle name="Ввод  6 2 5" xfId="388" xr:uid="{441571E2-0C89-4194-BC74-95888B0D2D1C}"/>
    <cellStyle name="Ввод  6 2 6" xfId="389" xr:uid="{FC4783E4-D85C-4D74-A5C5-09E07C7FF25D}"/>
    <cellStyle name="Ввод  6 2 7" xfId="390" xr:uid="{C977CB24-6759-403A-B5D1-77208F3770E7}"/>
    <cellStyle name="Ввод  7 2" xfId="391" xr:uid="{AC7DB551-3C75-49A0-9F38-16E6195516E9}"/>
    <cellStyle name="Ввод  7 2 2" xfId="392" xr:uid="{72748CC5-FCCF-40FD-BBB7-55A535669B7A}"/>
    <cellStyle name="Ввод  7 2 3" xfId="393" xr:uid="{C8A0D923-7A32-4838-975B-FB947280A12D}"/>
    <cellStyle name="Ввод  7 2 4" xfId="394" xr:uid="{41C434C6-74A9-412C-8650-D7A0D7E49AC8}"/>
    <cellStyle name="Ввод  7 2 5" xfId="395" xr:uid="{0918BFA1-C37B-4A0A-A878-7538B42DB18F}"/>
    <cellStyle name="Ввод  7 2 6" xfId="396" xr:uid="{F43B3DB1-5D2B-42A9-9D35-C5010D4CEF69}"/>
    <cellStyle name="Ввод  7 2 7" xfId="397" xr:uid="{49E189A8-8A72-4403-BA06-C4C8840083AC}"/>
    <cellStyle name="Ввод  8 2" xfId="398" xr:uid="{068BEED9-D39E-46BA-91C1-F156514C6B52}"/>
    <cellStyle name="Ввод  8 2 2" xfId="399" xr:uid="{C45CD880-476D-4329-AA5B-CD082EA02626}"/>
    <cellStyle name="Ввод  8 2 3" xfId="400" xr:uid="{3F9292A5-E3D7-4F2F-9EDD-19599A3A876F}"/>
    <cellStyle name="Ввод  8 2 4" xfId="401" xr:uid="{252B28F2-078C-4FB7-A3A0-C8A1DC106284}"/>
    <cellStyle name="Ввод  8 2 5" xfId="402" xr:uid="{EA0A8F89-4F2A-44FF-AADC-B4AD056BEA9C}"/>
    <cellStyle name="Ввод  8 2 6" xfId="403" xr:uid="{913B92E2-863F-4C1E-8AE8-44420A85CE78}"/>
    <cellStyle name="Ввод  8 2 7" xfId="404" xr:uid="{490B38F0-3DDE-4674-B245-0D34BAEC1687}"/>
    <cellStyle name="Ввод  9 2" xfId="405" xr:uid="{1FF4A36F-5B32-48E1-8A99-854F92C11FA9}"/>
    <cellStyle name="Ввод  9 2 2" xfId="406" xr:uid="{60C11994-5D8A-4ED8-8E9E-7C41BE2C3FAC}"/>
    <cellStyle name="Ввод  9 2 3" xfId="407" xr:uid="{A76FE52A-1E54-460E-90BD-B58FEB21B3F0}"/>
    <cellStyle name="Ввод  9 2 4" xfId="408" xr:uid="{7074E21D-7C5D-43D5-A46D-916AD7397C2D}"/>
    <cellStyle name="Ввод  9 2 5" xfId="409" xr:uid="{0B8D9247-6BA3-4B04-95E4-04A0D1B1FFF0}"/>
    <cellStyle name="Ввод  9 2 6" xfId="410" xr:uid="{03941849-7045-4FDD-962E-68B0FD804917}"/>
    <cellStyle name="Ввод  9 2 7" xfId="411" xr:uid="{C3CCB845-C8EE-48FE-A97D-928117CA0719}"/>
    <cellStyle name="ВедРесурсов" xfId="412" xr:uid="{9719AE04-AE43-418C-B968-02B86C97356F}"/>
    <cellStyle name="ВедРесурсов 2" xfId="413" xr:uid="{69F48B0E-F242-4BE5-A8FD-F0AFF6AE79D3}"/>
    <cellStyle name="ВедРесурсов 2 2" xfId="1627" xr:uid="{DD55FE69-0236-409B-82BD-F37B76522A22}"/>
    <cellStyle name="ВедРесурсов 3" xfId="1626" xr:uid="{BB32285B-CB8F-43FB-ABB4-E23DA8EDA3CD}"/>
    <cellStyle name="ВедРесурсовАкт" xfId="414" xr:uid="{1F871ECD-C693-4A79-A576-E6D110F2799D}"/>
    <cellStyle name="Вывод 10 2" xfId="415" xr:uid="{A5AAA33B-25AA-4803-BB21-95C1F5622112}"/>
    <cellStyle name="Вывод 10 2 2" xfId="416" xr:uid="{527BF1F6-C04E-4B0D-9DB6-42051063158A}"/>
    <cellStyle name="Вывод 10 2 3" xfId="417" xr:uid="{E68F4758-428C-40C7-87DC-C77A1694443D}"/>
    <cellStyle name="Вывод 10 2 4" xfId="418" xr:uid="{758556E2-4B8B-4389-AB11-AFF44F412DE7}"/>
    <cellStyle name="Вывод 10 2 5" xfId="419" xr:uid="{F46FA618-F121-4E24-AA51-24E56A0F4DA2}"/>
    <cellStyle name="Вывод 10 2 6" xfId="420" xr:uid="{F41EB6E7-920E-491C-A69B-2A45910EA28C}"/>
    <cellStyle name="Вывод 10 2 7" xfId="421" xr:uid="{D754B585-6FF3-4D6A-AE89-A36E362AC675}"/>
    <cellStyle name="Вывод 11" xfId="422" xr:uid="{A0AF9576-6644-4141-9911-0E65FEC44722}"/>
    <cellStyle name="Вывод 11 2" xfId="423" xr:uid="{5BF9745F-8E37-419E-8096-AC095E6793E2}"/>
    <cellStyle name="Вывод 11 3" xfId="424" xr:uid="{8D52725B-D23D-4D30-AB4D-801DBD89C4E2}"/>
    <cellStyle name="Вывод 11 4" xfId="425" xr:uid="{602F8693-C518-4A55-9803-817A5C70B0AF}"/>
    <cellStyle name="Вывод 11 5" xfId="426" xr:uid="{94F9CF2A-9611-48BD-9947-195566CB4781}"/>
    <cellStyle name="Вывод 11 6" xfId="427" xr:uid="{9F22B689-0FB1-4531-A733-EF0286991C73}"/>
    <cellStyle name="Вывод 11 7" xfId="428" xr:uid="{28079CC8-12CC-48BF-BA31-E9A73442F4EC}"/>
    <cellStyle name="Вывод 2" xfId="429" xr:uid="{7A2CA004-C3F8-442D-8E95-E12F554FCA2D}"/>
    <cellStyle name="Вывод 2 2" xfId="430" xr:uid="{0A5A5341-89B0-4FCD-ABB2-5DA1756A51F0}"/>
    <cellStyle name="Вывод 2 2 2" xfId="431" xr:uid="{CB9D4BB0-E1DA-41B6-A131-07DDB09BDB72}"/>
    <cellStyle name="Вывод 2 2 3" xfId="432" xr:uid="{D0DC69AE-C8DE-4696-B760-3BC6E6495CE7}"/>
    <cellStyle name="Вывод 2 2 4" xfId="433" xr:uid="{A0EE9739-3CE9-4E22-B645-198CDC358658}"/>
    <cellStyle name="Вывод 2 2 5" xfId="434" xr:uid="{4A90618C-0E38-4FA7-AB80-CDE252F7E757}"/>
    <cellStyle name="Вывод 2 2 6" xfId="435" xr:uid="{5C711908-3490-459E-B981-AA5D5F493B20}"/>
    <cellStyle name="Вывод 2 2 7" xfId="436" xr:uid="{DA05FE6C-9AF5-4D1B-858A-103F99AFDD5E}"/>
    <cellStyle name="Вывод 2 3" xfId="437" xr:uid="{D8A323A4-C503-4858-BCBE-134CF18E9532}"/>
    <cellStyle name="Вывод 2 4" xfId="438" xr:uid="{2413B471-E8BD-4D3F-9D5D-147E89950021}"/>
    <cellStyle name="Вывод 2 5" xfId="439" xr:uid="{5E65CDAF-3649-47CD-BCC6-77A3354EFF54}"/>
    <cellStyle name="Вывод 2 6" xfId="440" xr:uid="{3FC29CCE-08DA-43BC-8A48-E26E1BAFC8C5}"/>
    <cellStyle name="Вывод 2 7" xfId="441" xr:uid="{1CB18552-4609-44A2-881D-9C0388AB3F09}"/>
    <cellStyle name="Вывод 2 8" xfId="442" xr:uid="{AC06BEDE-26FE-4415-A503-C43E83CC8DA5}"/>
    <cellStyle name="Вывод 3 2" xfId="443" xr:uid="{197F67C3-658A-4029-9668-92C060BAAC2B}"/>
    <cellStyle name="Вывод 3 2 2" xfId="444" xr:uid="{D93A055D-3C5E-4866-B7D4-908EE4333DDD}"/>
    <cellStyle name="Вывод 3 2 3" xfId="445" xr:uid="{C23F9C09-9CF9-453B-A0E0-653A873B26FC}"/>
    <cellStyle name="Вывод 3 2 4" xfId="446" xr:uid="{F5FAA7B4-B71B-440B-A1D0-08490940D3DC}"/>
    <cellStyle name="Вывод 3 2 5" xfId="447" xr:uid="{043E6884-115E-4FD3-94DD-2906029EC527}"/>
    <cellStyle name="Вывод 3 2 6" xfId="448" xr:uid="{551F9F9C-640C-4BAF-9763-C5E4D9F20E15}"/>
    <cellStyle name="Вывод 3 2 7" xfId="449" xr:uid="{F2D7B9B5-3AD7-4E68-A30F-BAA397E8E741}"/>
    <cellStyle name="Вывод 4 2" xfId="450" xr:uid="{4F9D0876-EFE0-44CA-898E-357575C928B1}"/>
    <cellStyle name="Вывод 4 2 2" xfId="451" xr:uid="{FE05D7D9-9E1E-421E-9C13-986A30944CCA}"/>
    <cellStyle name="Вывод 4 2 3" xfId="452" xr:uid="{FB48774B-1CCC-41E3-8A14-AF4E2679BDED}"/>
    <cellStyle name="Вывод 4 2 4" xfId="453" xr:uid="{D35A54EC-3E1F-4D57-AEFA-C4A6F29BF884}"/>
    <cellStyle name="Вывод 4 2 5" xfId="454" xr:uid="{45E73C52-92D9-4EFE-AF6D-091E801ECFAD}"/>
    <cellStyle name="Вывод 4 2 6" xfId="455" xr:uid="{25A6002F-84F4-4CFC-95BB-7A48327D1E95}"/>
    <cellStyle name="Вывод 4 2 7" xfId="456" xr:uid="{6369C1D2-F473-4FEB-8A79-ADF7BABBD02D}"/>
    <cellStyle name="Вывод 5 2" xfId="457" xr:uid="{E5B69481-8C0B-47A7-861F-52E5BB132059}"/>
    <cellStyle name="Вывод 5 2 2" xfId="458" xr:uid="{83B7BB16-5434-4B16-BAF9-767968DFDEAD}"/>
    <cellStyle name="Вывод 5 2 3" xfId="459" xr:uid="{351479F9-FCF1-4408-B8D7-A4FC3E44FBC0}"/>
    <cellStyle name="Вывод 5 2 4" xfId="460" xr:uid="{A3FC2C15-766A-4D71-B42F-A832FA90982D}"/>
    <cellStyle name="Вывод 5 2 5" xfId="461" xr:uid="{254858EC-421B-4924-B846-A5D33178ACCB}"/>
    <cellStyle name="Вывод 5 2 6" xfId="462" xr:uid="{EE2E90B6-13B9-4ABE-9D02-AEC2B14540A5}"/>
    <cellStyle name="Вывод 5 2 7" xfId="463" xr:uid="{382F90E2-1B72-45CA-8C1E-565265AAAD7E}"/>
    <cellStyle name="Вывод 6 2" xfId="464" xr:uid="{F1EEDBC5-8F3A-4D27-9E54-32D8B8873B05}"/>
    <cellStyle name="Вывод 6 2 2" xfId="465" xr:uid="{51602C63-68E6-47E0-A263-76F712BE5897}"/>
    <cellStyle name="Вывод 6 2 3" xfId="466" xr:uid="{B644C2A4-0E2B-4424-BA62-73CBCA81E4EB}"/>
    <cellStyle name="Вывод 6 2 4" xfId="467" xr:uid="{EDE1ABB4-84EE-4ECE-B569-6C04905B65B9}"/>
    <cellStyle name="Вывод 6 2 5" xfId="468" xr:uid="{81D403C8-2BB9-4928-8A4E-DF4B179AC53C}"/>
    <cellStyle name="Вывод 6 2 6" xfId="469" xr:uid="{934250D5-BAB4-4BEB-B328-1CCC55C0A689}"/>
    <cellStyle name="Вывод 6 2 7" xfId="470" xr:uid="{EED5D935-4387-4093-98A8-2AD1F20DD423}"/>
    <cellStyle name="Вывод 7 2" xfId="471" xr:uid="{54F4CF7C-50B2-4DDA-97A9-6CFB342712BB}"/>
    <cellStyle name="Вывод 7 2 2" xfId="472" xr:uid="{54C831DE-4BEE-49BA-9C47-34754E7444A2}"/>
    <cellStyle name="Вывод 7 2 3" xfId="473" xr:uid="{2EF6789B-3990-45C3-B6E2-C98319A24A43}"/>
    <cellStyle name="Вывод 7 2 4" xfId="474" xr:uid="{88515A7C-7D33-4454-B74E-50F452892B39}"/>
    <cellStyle name="Вывод 7 2 5" xfId="475" xr:uid="{79F7B632-A482-4994-B21D-345268512792}"/>
    <cellStyle name="Вывод 7 2 6" xfId="476" xr:uid="{B278564C-D56F-4CCA-8668-316AE79FF791}"/>
    <cellStyle name="Вывод 7 2 7" xfId="477" xr:uid="{280247B1-8E86-4A89-8593-B4F1569F0DD7}"/>
    <cellStyle name="Вывод 8 2" xfId="478" xr:uid="{CAFC01B2-04D9-46D5-A8F1-065956D4484F}"/>
    <cellStyle name="Вывод 8 2 2" xfId="479" xr:uid="{A6ECF16B-B745-4C4C-97EE-4DE92253ADCB}"/>
    <cellStyle name="Вывод 8 2 3" xfId="480" xr:uid="{2E518D5C-5BAE-48CA-BBC6-5CDC9975BF3E}"/>
    <cellStyle name="Вывод 8 2 4" xfId="481" xr:uid="{FA1CAB7A-3F91-4828-ACCB-6222B5A53E5E}"/>
    <cellStyle name="Вывод 8 2 5" xfId="482" xr:uid="{336B115C-06FB-4183-A2DA-38BE64DB77E3}"/>
    <cellStyle name="Вывод 8 2 6" xfId="483" xr:uid="{FEE52B0F-0D8C-4268-9F17-E2A5B6094D5C}"/>
    <cellStyle name="Вывод 8 2 7" xfId="484" xr:uid="{C8F85A22-367A-493B-9646-0D7B356C3C77}"/>
    <cellStyle name="Вывод 9 2" xfId="485" xr:uid="{2EF348BE-833B-474A-8FE8-DFD6633DCCCA}"/>
    <cellStyle name="Вывод 9 2 2" xfId="486" xr:uid="{3AF5AB2D-2A65-4A39-A8D0-893510792C4E}"/>
    <cellStyle name="Вывод 9 2 3" xfId="487" xr:uid="{95011B43-9188-4D4D-B3F2-D5AD30CBB33E}"/>
    <cellStyle name="Вывод 9 2 4" xfId="488" xr:uid="{CC3125C1-C984-48D9-A835-0B8D5C7BAA59}"/>
    <cellStyle name="Вывод 9 2 5" xfId="489" xr:uid="{A2DBA753-582D-41EA-9B74-780F79621DD4}"/>
    <cellStyle name="Вывод 9 2 6" xfId="490" xr:uid="{33ECEA8A-8732-49DD-8A6E-919498B1E59F}"/>
    <cellStyle name="Вывод 9 2 7" xfId="491" xr:uid="{F48B4647-1698-4431-B952-DCAA94165ABE}"/>
    <cellStyle name="Вычисление 10 2" xfId="492" xr:uid="{E7056911-FF0F-49BB-91F9-B95EC9F35CAE}"/>
    <cellStyle name="Вычисление 10 2 2" xfId="493" xr:uid="{32DE1F5E-6C9F-4022-83E4-4182CF9B2EF0}"/>
    <cellStyle name="Вычисление 10 2 3" xfId="494" xr:uid="{852F93E3-9B04-43CA-A730-0A86C00EB4A6}"/>
    <cellStyle name="Вычисление 10 2 4" xfId="495" xr:uid="{CAB55A32-D708-4342-8EBB-A973270C0CC6}"/>
    <cellStyle name="Вычисление 10 2 5" xfId="496" xr:uid="{CF04EB76-9307-407B-8BDD-9BED69584547}"/>
    <cellStyle name="Вычисление 10 2 6" xfId="497" xr:uid="{DDBC0238-387F-495B-BFC5-BCA33C14CA7C}"/>
    <cellStyle name="Вычисление 10 2 7" xfId="498" xr:uid="{6738E55D-E252-4BA6-B8EC-0B3E6FF964C6}"/>
    <cellStyle name="Вычисление 11" xfId="499" xr:uid="{CCAD3DDF-83E1-4C82-AEFC-96438F385063}"/>
    <cellStyle name="Вычисление 11 2" xfId="500" xr:uid="{3402A826-166B-45C6-8434-6511925A993A}"/>
    <cellStyle name="Вычисление 11 3" xfId="501" xr:uid="{083E9EAB-19A3-41F7-B98E-3E1D8A195BAE}"/>
    <cellStyle name="Вычисление 11 4" xfId="502" xr:uid="{DC13D6D7-82A5-4835-9E08-E8048C979B87}"/>
    <cellStyle name="Вычисление 11 5" xfId="503" xr:uid="{290D1CC9-8F8D-44D9-9E71-C2F8EB30D6A1}"/>
    <cellStyle name="Вычисление 11 6" xfId="504" xr:uid="{4DC39949-3157-44A3-9343-372DBE7C0672}"/>
    <cellStyle name="Вычисление 11 7" xfId="505" xr:uid="{D0F88664-A423-4A2E-9868-5213C0828DD3}"/>
    <cellStyle name="Вычисление 2" xfId="506" xr:uid="{FF1FB298-1700-479A-8E24-D440256D55CD}"/>
    <cellStyle name="Вычисление 2 2" xfId="507" xr:uid="{E4FE59E4-D3B1-46BA-94F7-A2B9433EF258}"/>
    <cellStyle name="Вычисление 2 2 2" xfId="508" xr:uid="{F78E5C03-6CF4-4EB6-80A3-15C4345A4C1D}"/>
    <cellStyle name="Вычисление 2 2 3" xfId="509" xr:uid="{D858822A-7D88-47D9-ACF8-510CCC6636D0}"/>
    <cellStyle name="Вычисление 2 2 4" xfId="510" xr:uid="{F3044D90-E2E1-4332-BF94-33D4A6557081}"/>
    <cellStyle name="Вычисление 2 2 5" xfId="511" xr:uid="{729F2A05-1C6F-45EB-AA25-5C2D30E1FB33}"/>
    <cellStyle name="Вычисление 2 2 6" xfId="512" xr:uid="{109AB538-5D9D-41B4-B14F-505FFB2F7E93}"/>
    <cellStyle name="Вычисление 2 2 7" xfId="513" xr:uid="{30799C16-6AC3-4661-A425-7FD61ECB7A9A}"/>
    <cellStyle name="Вычисление 2 3" xfId="514" xr:uid="{C3088C30-28A5-42B7-8740-6CC0622E58EE}"/>
    <cellStyle name="Вычисление 2 4" xfId="515" xr:uid="{CFF40AB0-777F-446B-963E-7A73760A22E0}"/>
    <cellStyle name="Вычисление 2 5" xfId="516" xr:uid="{FA63896D-479F-42B9-A231-5FD76F65374F}"/>
    <cellStyle name="Вычисление 2 6" xfId="517" xr:uid="{0A7545B3-7534-4474-BABB-D66D7BD74720}"/>
    <cellStyle name="Вычисление 2 7" xfId="518" xr:uid="{27EE3B59-EBAB-40B5-8247-3088F33073F4}"/>
    <cellStyle name="Вычисление 2 8" xfId="519" xr:uid="{F6D24452-C2ED-40A5-BA4A-22AB675943E4}"/>
    <cellStyle name="Вычисление 3 2" xfId="520" xr:uid="{434423FC-90C8-4165-8A28-3D795706821F}"/>
    <cellStyle name="Вычисление 3 2 2" xfId="521" xr:uid="{AE534B56-A576-4F8D-8D75-D7DBFBDB5499}"/>
    <cellStyle name="Вычисление 3 2 3" xfId="522" xr:uid="{2C03F50A-CF04-473E-BE4E-566F3A371ECB}"/>
    <cellStyle name="Вычисление 3 2 4" xfId="523" xr:uid="{7F3E94BB-7C4F-4C0D-BBCB-9B3CFBE32DEE}"/>
    <cellStyle name="Вычисление 3 2 5" xfId="524" xr:uid="{77D36DBB-5F28-4C51-BAB8-5931240A9831}"/>
    <cellStyle name="Вычисление 3 2 6" xfId="525" xr:uid="{757C3611-12A2-4007-9923-EE3E0367B58C}"/>
    <cellStyle name="Вычисление 3 2 7" xfId="526" xr:uid="{A864C23B-9EEC-4AB9-94E3-C4B6702C53DD}"/>
    <cellStyle name="Вычисление 4 2" xfId="527" xr:uid="{18A7F508-32B0-4DB0-BF68-4CA631364D7D}"/>
    <cellStyle name="Вычисление 4 2 2" xfId="528" xr:uid="{9ACC364B-7DFE-446D-932E-0F1298523411}"/>
    <cellStyle name="Вычисление 4 2 3" xfId="529" xr:uid="{6B81935E-9534-44EC-A98E-250B50495013}"/>
    <cellStyle name="Вычисление 4 2 4" xfId="530" xr:uid="{1F871CF5-1DCD-4DC5-A3D3-56F1D02C1DA3}"/>
    <cellStyle name="Вычисление 4 2 5" xfId="531" xr:uid="{7085CE8F-BE9D-4343-99E2-3FA565A95088}"/>
    <cellStyle name="Вычисление 4 2 6" xfId="532" xr:uid="{260BFF3E-34EA-4221-B037-6CF89A7D41E2}"/>
    <cellStyle name="Вычисление 4 2 7" xfId="533" xr:uid="{0B673A2C-212B-4C42-9887-37639DE1C4BD}"/>
    <cellStyle name="Вычисление 5 2" xfId="534" xr:uid="{E6B938C7-E562-4D8B-9456-CB4663B4B1B0}"/>
    <cellStyle name="Вычисление 5 2 2" xfId="535" xr:uid="{628DB8F8-7B47-44AC-B426-D9824355CD42}"/>
    <cellStyle name="Вычисление 5 2 3" xfId="536" xr:uid="{75C2EDD6-BA7F-466F-8B39-71F27D5F90C3}"/>
    <cellStyle name="Вычисление 5 2 4" xfId="537" xr:uid="{4F05C649-93C2-48A5-AC65-E20221E072FB}"/>
    <cellStyle name="Вычисление 5 2 5" xfId="538" xr:uid="{DAAEDCC8-CACC-4881-8B46-3F7245B2C7CC}"/>
    <cellStyle name="Вычисление 5 2 6" xfId="539" xr:uid="{FF3016A4-F7B6-4B6B-9FFA-A40D8BBC6319}"/>
    <cellStyle name="Вычисление 5 2 7" xfId="540" xr:uid="{6E825D77-C9A6-4732-88F2-02030D74A234}"/>
    <cellStyle name="Вычисление 6 2" xfId="541" xr:uid="{EC43041F-93D7-49A3-A697-C13FC3E1973F}"/>
    <cellStyle name="Вычисление 6 2 2" xfId="542" xr:uid="{3F3A8ED7-03F6-4911-9F36-4739E03AB57F}"/>
    <cellStyle name="Вычисление 6 2 3" xfId="543" xr:uid="{8CFD91AC-67EE-41D1-BD03-357D4F4320FE}"/>
    <cellStyle name="Вычисление 6 2 4" xfId="544" xr:uid="{3C4B54CE-7D47-475C-847A-C2694607DC4F}"/>
    <cellStyle name="Вычисление 6 2 5" xfId="545" xr:uid="{E6E8BF5C-32C2-4BC3-ACC7-2CD07085BE8D}"/>
    <cellStyle name="Вычисление 6 2 6" xfId="546" xr:uid="{B97E12D3-3237-4B76-9803-863EC73A76AB}"/>
    <cellStyle name="Вычисление 6 2 7" xfId="547" xr:uid="{D15B3FD1-A390-4CE4-933D-3D3446D9CB26}"/>
    <cellStyle name="Вычисление 7 2" xfId="548" xr:uid="{37CB9AC0-CBD0-4C3F-BAE8-38630F47C789}"/>
    <cellStyle name="Вычисление 7 2 2" xfId="549" xr:uid="{2F1E4988-2AFA-4728-89B1-DF68BFCCE921}"/>
    <cellStyle name="Вычисление 7 2 3" xfId="550" xr:uid="{4CC2DAB1-1739-4FA0-B495-F3C185AE17F3}"/>
    <cellStyle name="Вычисление 7 2 4" xfId="551" xr:uid="{2002B455-12C2-4041-9AC0-3C5B0E12CC4F}"/>
    <cellStyle name="Вычисление 7 2 5" xfId="552" xr:uid="{E2FE24F6-BEBB-4C03-911C-F044DF829911}"/>
    <cellStyle name="Вычисление 7 2 6" xfId="553" xr:uid="{E5B2EB39-2DBE-4E95-8A51-CB7C945F5961}"/>
    <cellStyle name="Вычисление 7 2 7" xfId="554" xr:uid="{37BD51A8-DB8C-496F-B7E6-2CCC6F6AFAEA}"/>
    <cellStyle name="Вычисление 8 2" xfId="555" xr:uid="{B662554D-4ACF-4C9E-BF9C-D598AF68C7BE}"/>
    <cellStyle name="Вычисление 8 2 2" xfId="556" xr:uid="{D374616C-F278-49E2-B777-308E48F6016A}"/>
    <cellStyle name="Вычисление 8 2 3" xfId="557" xr:uid="{57636053-69F5-4561-8B57-E3EE0A0AB3E5}"/>
    <cellStyle name="Вычисление 8 2 4" xfId="558" xr:uid="{4611984B-78E6-4D80-ACA0-DFFFECCABEF4}"/>
    <cellStyle name="Вычисление 8 2 5" xfId="559" xr:uid="{6D81033C-7A10-4324-9C17-4C14E44C0889}"/>
    <cellStyle name="Вычисление 8 2 6" xfId="560" xr:uid="{DC3F92F3-CF38-4453-9D52-A30B39E466CE}"/>
    <cellStyle name="Вычисление 8 2 7" xfId="561" xr:uid="{3E28B559-2C6A-42AE-891E-90F323DAA42D}"/>
    <cellStyle name="Вычисление 9 2" xfId="562" xr:uid="{3AAB4A65-8F78-4E5B-9C4E-E9B57FE45F41}"/>
    <cellStyle name="Вычисление 9 2 2" xfId="563" xr:uid="{A577C859-2CE7-4922-8392-83CDB4BC7089}"/>
    <cellStyle name="Вычисление 9 2 3" xfId="564" xr:uid="{7D23A859-26D9-465A-BCA5-2FD88943339D}"/>
    <cellStyle name="Вычисление 9 2 4" xfId="565" xr:uid="{96460AD6-773F-417F-892B-CCDB67C3B311}"/>
    <cellStyle name="Вычисление 9 2 5" xfId="566" xr:uid="{A5E79F8B-C68F-4683-9DAC-F18720BD286F}"/>
    <cellStyle name="Вычисление 9 2 6" xfId="567" xr:uid="{1044FE09-8663-47AD-8B22-2DAFB3115FE3}"/>
    <cellStyle name="Вычисление 9 2 7" xfId="568" xr:uid="{18791195-6AA9-4DB2-8942-243240B527FA}"/>
    <cellStyle name="Денежный 2" xfId="569" xr:uid="{94BD5D0D-FF01-4AAC-8B97-56A7982B30BC}"/>
    <cellStyle name="Денежный 2 2" xfId="570" xr:uid="{5A480D25-D67B-4EBC-B220-E1919F1E5706}"/>
    <cellStyle name="Денежный 2 3" xfId="571" xr:uid="{7973F6C5-94C0-4590-B7AB-B187EBEFA7AB}"/>
    <cellStyle name="Денежный 2 4" xfId="572" xr:uid="{02DBA46E-9950-4961-AC91-212FA5313008}"/>
    <cellStyle name="Денежный 2 5" xfId="573" xr:uid="{E9A383AB-A7F1-4488-A872-F26894237327}"/>
    <cellStyle name="Денежный 2 6" xfId="574" xr:uid="{D629DE64-C704-4FDB-A7A5-3522A642986F}"/>
    <cellStyle name="Денежный 3" xfId="575" xr:uid="{7872CB60-D88E-433D-8543-DCACB2DF04AA}"/>
    <cellStyle name="заголовок" xfId="576" xr:uid="{D2DDD1E7-17B8-4CAF-A226-8F442E1AC06F}"/>
    <cellStyle name="Заголовок 1 10 2" xfId="577" xr:uid="{F892B87E-1114-4BC8-B67B-54683496C7B9}"/>
    <cellStyle name="Заголовок 1 11" xfId="578" xr:uid="{E458C874-409B-41EB-B3EB-D2B5CBABF050}"/>
    <cellStyle name="Заголовок 1 2" xfId="579" xr:uid="{2954CE1E-37CE-4BAB-B03B-E4C73585B0DF}"/>
    <cellStyle name="Заголовок 1 2 2" xfId="580" xr:uid="{2119F4B5-95C4-4E14-A454-60B302CAEEF3}"/>
    <cellStyle name="Заголовок 1 3 2" xfId="581" xr:uid="{82CD590B-3E4C-406B-BD0A-5273AA9E98D4}"/>
    <cellStyle name="Заголовок 1 4 2" xfId="582" xr:uid="{F0CDC243-2C64-44E3-B59E-366BE84320D3}"/>
    <cellStyle name="Заголовок 1 5 2" xfId="583" xr:uid="{F60DAB88-7362-4DDA-8D26-299ED301FECF}"/>
    <cellStyle name="Заголовок 1 6 2" xfId="584" xr:uid="{E75D5CBC-789D-4229-9798-DA00E3F05704}"/>
    <cellStyle name="Заголовок 1 7 2" xfId="585" xr:uid="{A369E7CA-F228-42DD-829D-27103B7138C4}"/>
    <cellStyle name="Заголовок 1 8 2" xfId="586" xr:uid="{3F5BFB44-2FC1-4DCF-86A0-B6D6264097D0}"/>
    <cellStyle name="Заголовок 1 9 2" xfId="587" xr:uid="{A7045B44-D7CB-46E3-B4B5-9F93569FE978}"/>
    <cellStyle name="Заголовок 2 10 2" xfId="588" xr:uid="{AFF1DB93-FEF4-4BF9-B7C1-CF18A1D8EC67}"/>
    <cellStyle name="Заголовок 2 11" xfId="589" xr:uid="{B6B98A7C-561E-4DC5-8095-22866DE9C15D}"/>
    <cellStyle name="Заголовок 2 2" xfId="590" xr:uid="{9675779D-9623-4C12-AE45-48B8C33CFA04}"/>
    <cellStyle name="Заголовок 2 2 2" xfId="591" xr:uid="{FDE0B7CA-CE2C-4314-A14E-822D4202908E}"/>
    <cellStyle name="Заголовок 2 3 2" xfId="592" xr:uid="{F1CCEBE7-6CE7-4DB4-99D3-E27C39BB3B38}"/>
    <cellStyle name="Заголовок 2 4 2" xfId="593" xr:uid="{4C8E259B-FB73-4110-BBAC-976CCC14C1CA}"/>
    <cellStyle name="Заголовок 2 5 2" xfId="594" xr:uid="{4635D1F8-2795-49D0-9E2F-236623270440}"/>
    <cellStyle name="Заголовок 2 6 2" xfId="595" xr:uid="{1AEFD94A-9BE5-4B0E-BAB3-04195ADBD44C}"/>
    <cellStyle name="Заголовок 2 7 2" xfId="596" xr:uid="{07248DAD-2444-40E0-94F9-DAB11E99E9D3}"/>
    <cellStyle name="Заголовок 2 8 2" xfId="597" xr:uid="{A73846AE-0B6D-444B-A5FE-A8FB77FD5064}"/>
    <cellStyle name="Заголовок 2 9 2" xfId="598" xr:uid="{C3C0DF34-AF1C-4676-8581-5ECA48AD1175}"/>
    <cellStyle name="Заголовок 3 10 2" xfId="599" xr:uid="{62899FA3-E300-4115-8AAD-A521DFE6FAE7}"/>
    <cellStyle name="Заголовок 3 11" xfId="600" xr:uid="{37DDEB7E-1CD4-4923-ADD2-2F7A47E541D0}"/>
    <cellStyle name="Заголовок 3 2" xfId="601" xr:uid="{165A10CA-FBD9-46D1-BA79-EB073BD9F841}"/>
    <cellStyle name="Заголовок 3 2 2" xfId="602" xr:uid="{5A85CF88-7697-4ED1-BD80-7CE0C5ACD6F8}"/>
    <cellStyle name="Заголовок 3 3 2" xfId="603" xr:uid="{D9F3886B-8BE6-45B4-9582-123D87AD82A6}"/>
    <cellStyle name="Заголовок 3 4 2" xfId="604" xr:uid="{30703DD1-E960-4B79-A809-BA7C2197080B}"/>
    <cellStyle name="Заголовок 3 5 2" xfId="605" xr:uid="{ABF5411B-1EA5-4735-BEA4-3D61B2867F23}"/>
    <cellStyle name="Заголовок 3 6 2" xfId="606" xr:uid="{2A86959F-BB21-4EE5-9F9F-A0C7BC4170A7}"/>
    <cellStyle name="Заголовок 3 7 2" xfId="607" xr:uid="{2495825E-6087-4EA0-93E9-A8CB503E1E8E}"/>
    <cellStyle name="Заголовок 3 8 2" xfId="608" xr:uid="{88A5237D-DF36-4534-BF26-F5803C149F7A}"/>
    <cellStyle name="Заголовок 3 9 2" xfId="609" xr:uid="{F693F10F-A39C-468A-8BA2-7417646F4F2A}"/>
    <cellStyle name="Заголовок 4 10 2" xfId="610" xr:uid="{8B4C8A6A-86B6-4711-A904-0149E9A62EC3}"/>
    <cellStyle name="Заголовок 4 11" xfId="611" xr:uid="{55356E20-02CA-4C86-9808-68327577CDC2}"/>
    <cellStyle name="Заголовок 4 2" xfId="612" xr:uid="{53B27648-F69B-4931-BF23-6CA543AE2A60}"/>
    <cellStyle name="Заголовок 4 2 2" xfId="613" xr:uid="{CBBDD7B1-B6A5-48EA-B36A-44464098C3CA}"/>
    <cellStyle name="Заголовок 4 3 2" xfId="614" xr:uid="{C9707340-B637-45CC-BB0E-FEBEF1923B5A}"/>
    <cellStyle name="Заголовок 4 4 2" xfId="615" xr:uid="{E5410FED-2E7C-4C00-AC4A-7409799C96C9}"/>
    <cellStyle name="Заголовок 4 5 2" xfId="616" xr:uid="{C2010C15-8957-4C56-8942-EB0B95295DFD}"/>
    <cellStyle name="Заголовок 4 6 2" xfId="617" xr:uid="{E6AEEF71-5C8D-4420-A203-4F3BE5A6FAFB}"/>
    <cellStyle name="Заголовок 4 7 2" xfId="618" xr:uid="{69581550-DA2E-489A-92BA-660198EEFD3F}"/>
    <cellStyle name="Заголовок 4 8 2" xfId="619" xr:uid="{A37EBDE9-595F-4FA4-B805-ABB05F0F313A}"/>
    <cellStyle name="Заголовок 4 9 2" xfId="620" xr:uid="{9E35E0B2-E864-41D6-A432-1D360382F6CD}"/>
    <cellStyle name="Индексы" xfId="621" xr:uid="{EE60D75D-6C0C-4FE2-93BF-6B15FB8361C9}"/>
    <cellStyle name="Итог 10 2" xfId="622" xr:uid="{57FEC7E4-F4C7-4400-A7BA-7E1F23C9EB66}"/>
    <cellStyle name="Итог 10 2 2" xfId="623" xr:uid="{9A733468-6EC0-48A8-89B9-BAF281FFA3D5}"/>
    <cellStyle name="Итог 10 2 3" xfId="624" xr:uid="{8A854397-5EB6-465C-A3D4-710A9EA53885}"/>
    <cellStyle name="Итог 10 2 4" xfId="625" xr:uid="{7A844F4C-7CB3-407D-BD94-0975C4DDFBB7}"/>
    <cellStyle name="Итог 10 2 5" xfId="626" xr:uid="{9FEF6E68-9988-463E-AE98-EDE12E3783C9}"/>
    <cellStyle name="Итог 10 2 6" xfId="627" xr:uid="{44681452-7F03-4C19-B4E5-377310157622}"/>
    <cellStyle name="Итог 10 2 7" xfId="628" xr:uid="{AC76F98A-2F10-4E29-8370-4AFC4B917B86}"/>
    <cellStyle name="Итог 11" xfId="629" xr:uid="{B58DAA6B-B08F-474D-9360-995F9C301E75}"/>
    <cellStyle name="Итог 11 2" xfId="630" xr:uid="{102D5802-733D-4315-BAB5-3E890C1A853F}"/>
    <cellStyle name="Итог 11 3" xfId="631" xr:uid="{75736F15-A767-46BB-AC28-4098493C8205}"/>
    <cellStyle name="Итог 11 4" xfId="632" xr:uid="{FC4BBFBD-88EB-44FE-8E1B-0234FF5017D4}"/>
    <cellStyle name="Итог 11 5" xfId="633" xr:uid="{248683CF-C487-4816-ACB9-96CA77FCB58C}"/>
    <cellStyle name="Итог 11 6" xfId="634" xr:uid="{A0E3AC95-CC90-4A37-84B4-627C312E05D3}"/>
    <cellStyle name="Итог 11 7" xfId="635" xr:uid="{7052C052-783A-4E86-94D2-15E5839FE078}"/>
    <cellStyle name="Итог 2" xfId="636" xr:uid="{4B84002B-5C67-46FF-9D07-34DCA7228B93}"/>
    <cellStyle name="Итог 2 2" xfId="637" xr:uid="{A297ED1E-0CAB-4665-B893-3BE37803CEF1}"/>
    <cellStyle name="Итог 2 2 2" xfId="638" xr:uid="{2DE54444-7D6B-4A37-8BD6-A56D22FC5BEF}"/>
    <cellStyle name="Итог 2 2 3" xfId="639" xr:uid="{A8E4E090-39B2-48EE-B611-F70C7D199387}"/>
    <cellStyle name="Итог 2 2 4" xfId="640" xr:uid="{4CFA7A5C-46CC-4084-9184-0D229AA42285}"/>
    <cellStyle name="Итог 2 2 5" xfId="641" xr:uid="{A4A06C75-A37F-4E60-B0D5-49BE4F4E3AF1}"/>
    <cellStyle name="Итог 2 2 6" xfId="642" xr:uid="{86E95F44-A0AB-4776-9745-25B908679BE2}"/>
    <cellStyle name="Итог 2 2 7" xfId="643" xr:uid="{4803B3CD-63BA-4825-8DE8-39476483F8A6}"/>
    <cellStyle name="Итог 2 3" xfId="644" xr:uid="{6C56B318-DE7C-4BDD-B979-A8ECA75013B7}"/>
    <cellStyle name="Итог 2 4" xfId="645" xr:uid="{F35270EA-09AB-40F5-988A-77E931E279D8}"/>
    <cellStyle name="Итог 2 5" xfId="646" xr:uid="{E0CBC64E-87BC-4EBC-A196-7C08EFAD68E1}"/>
    <cellStyle name="Итог 2 6" xfId="647" xr:uid="{C2537509-F76B-4C68-905F-3B056B696713}"/>
    <cellStyle name="Итог 2 7" xfId="648" xr:uid="{607C35D2-F613-4B69-A668-04A3732429FC}"/>
    <cellStyle name="Итог 2 8" xfId="649" xr:uid="{F19AFEEA-7104-4E32-8BBB-DEDB1C6F9838}"/>
    <cellStyle name="Итог 3 2" xfId="650" xr:uid="{B711017E-79B6-4E0B-8DB1-AFEA60A9148D}"/>
    <cellStyle name="Итог 3 2 2" xfId="651" xr:uid="{FE91A4AB-EA8F-4DC4-B158-2CAAB74F144A}"/>
    <cellStyle name="Итог 3 2 3" xfId="652" xr:uid="{1F09FA7C-61F8-4653-A285-D72E75390939}"/>
    <cellStyle name="Итог 3 2 4" xfId="653" xr:uid="{4298AD6B-F36E-41A1-859B-819810491A1D}"/>
    <cellStyle name="Итог 3 2 5" xfId="654" xr:uid="{CDF9FBB6-3CAF-4C50-92AE-A83C24F8EED9}"/>
    <cellStyle name="Итог 3 2 6" xfId="655" xr:uid="{229547F0-9372-4E19-A390-25748077ABC8}"/>
    <cellStyle name="Итог 3 2 7" xfId="656" xr:uid="{C213AD5A-2FDF-4E1C-AE4D-A0929CF573AD}"/>
    <cellStyle name="Итог 4 2" xfId="657" xr:uid="{F989C6EC-A45D-4B01-A31C-0E609170DD1A}"/>
    <cellStyle name="Итог 4 2 2" xfId="658" xr:uid="{C9D2AED8-3029-4E3A-A4B4-EBB4D36BD560}"/>
    <cellStyle name="Итог 4 2 3" xfId="659" xr:uid="{DF3BC6C5-BEE9-4FFA-9C9D-5E8EB47EA31E}"/>
    <cellStyle name="Итог 4 2 4" xfId="660" xr:uid="{E9927419-170D-42BA-AABE-9153EA634A35}"/>
    <cellStyle name="Итог 4 2 5" xfId="661" xr:uid="{C0ACBFF0-DF21-49AF-AA7A-DCD10B5A5683}"/>
    <cellStyle name="Итог 4 2 6" xfId="662" xr:uid="{113EA0A3-E1F8-4E7B-A060-D192FF7CD6D9}"/>
    <cellStyle name="Итог 4 2 7" xfId="663" xr:uid="{55529BF8-A465-42A8-BAF3-B66D37D40B59}"/>
    <cellStyle name="Итог 5 2" xfId="664" xr:uid="{BAA1AF76-F45C-4779-B828-407AA913799C}"/>
    <cellStyle name="Итог 5 2 2" xfId="665" xr:uid="{EEF5A291-9FF5-465E-BC41-A8921108D123}"/>
    <cellStyle name="Итог 5 2 3" xfId="666" xr:uid="{E639840D-8300-40FD-86A2-85D5A221A401}"/>
    <cellStyle name="Итог 5 2 4" xfId="667" xr:uid="{D075FDB2-74B0-4E9F-8B01-50ED747A116F}"/>
    <cellStyle name="Итог 5 2 5" xfId="668" xr:uid="{87008A70-38E2-43EA-9F34-1CDFDB25D334}"/>
    <cellStyle name="Итог 5 2 6" xfId="669" xr:uid="{0AA345E1-86A1-46B7-A2E7-5D76F719892C}"/>
    <cellStyle name="Итог 5 2 7" xfId="670" xr:uid="{CE3654BE-7E70-4505-81EE-C37AA855127A}"/>
    <cellStyle name="Итог 6 2" xfId="671" xr:uid="{BEBFDD4C-CFC9-477F-B68F-79051DF83DA3}"/>
    <cellStyle name="Итог 6 2 2" xfId="672" xr:uid="{EB747E03-EBEB-4DAA-9715-3F2887408A80}"/>
    <cellStyle name="Итог 6 2 3" xfId="673" xr:uid="{1970A14A-EDCB-42F4-A304-88E41BE849FB}"/>
    <cellStyle name="Итог 6 2 4" xfId="674" xr:uid="{34C34616-B413-4993-A7DE-401B056E2C85}"/>
    <cellStyle name="Итог 6 2 5" xfId="675" xr:uid="{CAAAE571-9A9A-4A0C-98E6-F0BAF8BA4FAF}"/>
    <cellStyle name="Итог 6 2 6" xfId="676" xr:uid="{E05FBC6A-D703-484E-B867-E855EFE4D972}"/>
    <cellStyle name="Итог 6 2 7" xfId="677" xr:uid="{2C7A7CFF-5298-4E10-8058-FEA5180D30DF}"/>
    <cellStyle name="Итог 7 2" xfId="678" xr:uid="{673CC5E8-5DED-4005-8733-E6625BA84D7C}"/>
    <cellStyle name="Итог 7 2 2" xfId="679" xr:uid="{7D522F33-F905-4A9C-A13B-3FCE8C9741F8}"/>
    <cellStyle name="Итог 7 2 3" xfId="680" xr:uid="{7BACE1AC-AE72-49DE-88B6-5521F6AF9A53}"/>
    <cellStyle name="Итог 7 2 4" xfId="681" xr:uid="{F948736C-FE7E-4755-A83B-8734B2E25476}"/>
    <cellStyle name="Итог 7 2 5" xfId="682" xr:uid="{A3D1493D-F95E-4CF1-850A-18CB652C4D2B}"/>
    <cellStyle name="Итог 7 2 6" xfId="683" xr:uid="{62F4FDBF-0DC2-47F7-882B-C316F9D77DFA}"/>
    <cellStyle name="Итог 7 2 7" xfId="684" xr:uid="{D8C078A4-0BB5-4281-B523-F3950581405E}"/>
    <cellStyle name="Итог 8 2" xfId="685" xr:uid="{C08B6FCB-17B7-4271-9EE4-2C89501405A1}"/>
    <cellStyle name="Итог 8 2 2" xfId="686" xr:uid="{AE704660-B42A-4829-AB17-2EF44708A896}"/>
    <cellStyle name="Итог 8 2 3" xfId="687" xr:uid="{D4D75A41-DAB0-44A9-998B-6AB3E532E862}"/>
    <cellStyle name="Итог 8 2 4" xfId="688" xr:uid="{B6798BE6-21D6-4FC9-B077-34D797BCB9A2}"/>
    <cellStyle name="Итог 8 2 5" xfId="689" xr:uid="{3F465D1B-B274-4554-942E-303F11637FF0}"/>
    <cellStyle name="Итог 8 2 6" xfId="690" xr:uid="{57C4E2EA-E487-4DF5-A07A-22FDA157F439}"/>
    <cellStyle name="Итог 8 2 7" xfId="691" xr:uid="{A5912F6B-D639-46FD-B689-A94EF49A503F}"/>
    <cellStyle name="Итог 9 2" xfId="692" xr:uid="{6B6A6153-9E2E-4F1E-B7DE-D2900E6A9319}"/>
    <cellStyle name="Итог 9 2 2" xfId="693" xr:uid="{78FDA6E4-4CC6-4573-B448-A6690EECC726}"/>
    <cellStyle name="Итог 9 2 3" xfId="694" xr:uid="{0B3E937B-22C6-43A2-B2A7-1503969B79D9}"/>
    <cellStyle name="Итог 9 2 4" xfId="695" xr:uid="{CEFEE8C8-6434-40E4-92B0-AF5262EDBA4F}"/>
    <cellStyle name="Итог 9 2 5" xfId="696" xr:uid="{09E56C8D-6D19-48B4-9405-C617CFC977F8}"/>
    <cellStyle name="Итог 9 2 6" xfId="697" xr:uid="{0349B8DD-18F3-4C14-AF4F-E06336B93D93}"/>
    <cellStyle name="Итог 9 2 7" xfId="698" xr:uid="{F1D04909-A723-4707-B472-CE245870882F}"/>
    <cellStyle name="Итоги" xfId="699" xr:uid="{846B3950-BEB3-4610-AB8D-11E32A12DA7B}"/>
    <cellStyle name="ИтогоАктБазЦ" xfId="700" xr:uid="{B4771260-DF1B-48C1-92A2-53C5FF36C052}"/>
    <cellStyle name="ИтогоАктБИМ" xfId="701" xr:uid="{92E71099-AD5C-4F29-A3BE-5BCC1853EEA9}"/>
    <cellStyle name="ИтогоАктРесМет" xfId="702" xr:uid="{22D9A774-CB57-4292-83C2-BB407C09A4B3}"/>
    <cellStyle name="ИтогоБазЦ" xfId="703" xr:uid="{B3981BEE-65AF-498C-85F8-AF75A2917146}"/>
    <cellStyle name="ИтогоБИМ" xfId="704" xr:uid="{48313964-BF60-45B5-A977-A9B4B90B7D06}"/>
    <cellStyle name="ИтогоРесМет" xfId="705" xr:uid="{CFDE7A76-F338-4425-8AD6-C526ACE44BB6}"/>
    <cellStyle name="Контрольная ячейка 10 2" xfId="706" xr:uid="{7114FD7F-8716-4736-979B-6CE612440210}"/>
    <cellStyle name="Контрольная ячейка 11" xfId="707" xr:uid="{22C3EF0A-5AD7-40A8-8210-E6E9ACDE24B6}"/>
    <cellStyle name="Контрольная ячейка 2" xfId="708" xr:uid="{1C2E478C-AB8F-4ADD-9497-0E1485908B83}"/>
    <cellStyle name="Контрольная ячейка 2 2" xfId="709" xr:uid="{E1E1DCCD-C292-478F-926B-EDFCFE580F74}"/>
    <cellStyle name="Контрольная ячейка 3 2" xfId="710" xr:uid="{2906A5AD-DF43-402C-A633-3BFF3EC3EC77}"/>
    <cellStyle name="Контрольная ячейка 4 2" xfId="711" xr:uid="{6482CF66-1619-4AF1-B7E5-48A248D244C8}"/>
    <cellStyle name="Контрольная ячейка 5 2" xfId="712" xr:uid="{EC40D0B7-A409-40A7-B1B1-DE10A96D401B}"/>
    <cellStyle name="Контрольная ячейка 6 2" xfId="713" xr:uid="{1762B746-DF4F-4ED7-9C81-5DBD9D2D9BD0}"/>
    <cellStyle name="Контрольная ячейка 7 2" xfId="714" xr:uid="{8E05B7C6-D85E-44DC-9D90-D6F690A8665C}"/>
    <cellStyle name="Контрольная ячейка 8 2" xfId="715" xr:uid="{D4A526E5-B772-4C48-A252-AFF5DEF48FB9}"/>
    <cellStyle name="Контрольная ячейка 9 2" xfId="716" xr:uid="{E1230D74-84F0-497F-8C66-D34469489C47}"/>
    <cellStyle name="ЛокСмета" xfId="717" xr:uid="{3C03BFF6-597A-4254-88ED-6DECF769AFEF}"/>
    <cellStyle name="ЛокСмета 2" xfId="718" xr:uid="{44F15E70-2CE8-4DA7-8BCA-41C5D0278204}"/>
    <cellStyle name="ЛокСмета 2 2" xfId="1629" xr:uid="{7D96F9E1-2F27-4FD2-BCAD-18628F2032E5}"/>
    <cellStyle name="ЛокСмета 3" xfId="1628" xr:uid="{330B411C-90D1-4F7A-84F8-6EA3ADFC949E}"/>
    <cellStyle name="ЛокСмМТСН" xfId="719" xr:uid="{7117C206-27C3-4D5E-B5EA-7D0AC8C368E5}"/>
    <cellStyle name="М29" xfId="720" xr:uid="{F9CB1039-D705-4D47-B445-55C60A723E24}"/>
    <cellStyle name="Название 10 2" xfId="721" xr:uid="{5BEB0AD3-3229-4D87-9172-76671E2D1E73}"/>
    <cellStyle name="Название 11" xfId="722" xr:uid="{61D5F4FA-12CA-49BB-B9B1-259D12FB4AD7}"/>
    <cellStyle name="Название 2" xfId="723" xr:uid="{07EDD854-D196-4FE3-9130-3536D923CB10}"/>
    <cellStyle name="Название 2 2" xfId="724" xr:uid="{FFC937E1-6DC7-4D81-A8D5-ADD4E71730AB}"/>
    <cellStyle name="Название 3 2" xfId="725" xr:uid="{9DBC3063-D60F-4DB4-8E4E-52A4B7BC9C70}"/>
    <cellStyle name="Название 4 2" xfId="726" xr:uid="{EAA6DD47-4138-48D3-97A2-DC937ECED5B5}"/>
    <cellStyle name="Название 5 2" xfId="727" xr:uid="{584B2810-7DFF-4526-AA89-2AE99751BEDB}"/>
    <cellStyle name="Название 6 2" xfId="728" xr:uid="{98F678EB-FA95-47D2-8CEE-3763681ECCA7}"/>
    <cellStyle name="Название 7 2" xfId="729" xr:uid="{5F02CD4F-EA54-473F-9845-FA7AF03938C0}"/>
    <cellStyle name="Название 8 2" xfId="730" xr:uid="{A8EFF334-48F1-49C2-A927-444B0FF4317F}"/>
    <cellStyle name="Название 9 2" xfId="731" xr:uid="{3CD63A35-8130-494F-8F2E-D5E30AA37006}"/>
    <cellStyle name="Нейтральный 10 2" xfId="732" xr:uid="{C48D2446-F9D5-4B35-88A9-F5D72D81C91D}"/>
    <cellStyle name="Нейтральный 11" xfId="733" xr:uid="{B1E49864-0751-48B5-8AC8-76F175AF5673}"/>
    <cellStyle name="Нейтральный 2" xfId="734" xr:uid="{91809EA5-EBF7-4102-891A-2185E81EF62C}"/>
    <cellStyle name="Нейтральный 2 2" xfId="735" xr:uid="{DFB57CDC-4047-4EA4-8418-EEC2560BB84C}"/>
    <cellStyle name="Нейтральный 3 2" xfId="736" xr:uid="{9F32FD76-9485-493F-B45C-A6688882D60A}"/>
    <cellStyle name="Нейтральный 4 2" xfId="737" xr:uid="{8A9E4666-FD73-444D-A269-F8DF741236AC}"/>
    <cellStyle name="Нейтральный 5 2" xfId="738" xr:uid="{71124840-EC46-44ED-8677-B8C4D675E75E}"/>
    <cellStyle name="Нейтральный 6 2" xfId="739" xr:uid="{698F6C38-F18B-4EB9-B179-235C7DB2B93E}"/>
    <cellStyle name="Нейтральный 7 2" xfId="740" xr:uid="{82B1DCF7-E6DC-4C70-8492-E3441D067D4D}"/>
    <cellStyle name="Нейтральный 8 2" xfId="741" xr:uid="{9F423095-7F48-440A-ABD8-BA9BB7F0AF6D}"/>
    <cellStyle name="Нейтральный 9 2" xfId="742" xr:uid="{2F75D723-2ABA-499A-85C0-6B4B87581094}"/>
    <cellStyle name="ОбСмета" xfId="743" xr:uid="{748C633A-6C69-474F-900D-C8B9C5B48DEC}"/>
    <cellStyle name="Обычный" xfId="0" builtinId="0"/>
    <cellStyle name="Обычный 10" xfId="744" xr:uid="{401D25E4-7E7D-4B9D-B993-220ED0046975}"/>
    <cellStyle name="Обычный 10 2" xfId="745" xr:uid="{DC4A89FD-C880-4A7D-9D78-328EAAA8088B}"/>
    <cellStyle name="Обычный 10 2 2" xfId="746" xr:uid="{979C6B59-0E3C-4F47-AF91-07A6889A92CB}"/>
    <cellStyle name="Обычный 10 2 3" xfId="747" xr:uid="{143120E8-BF8A-4C8D-90E4-BFC8638556CD}"/>
    <cellStyle name="Обычный 10 3" xfId="748" xr:uid="{A139DD26-121D-4D6F-9D2E-0DCB845049A4}"/>
    <cellStyle name="Обычный 10 3 7" xfId="749" xr:uid="{783588EF-2AD1-412C-9020-1C4CB6004C6E}"/>
    <cellStyle name="Обычный 10 3 7 2" xfId="750" xr:uid="{A8826406-E173-4D7A-BAA1-F2A18D72ACD0}"/>
    <cellStyle name="Обычный 10 3 7 2 2" xfId="751" xr:uid="{94182C17-FBD6-45DA-BD06-4D04A69E3F41}"/>
    <cellStyle name="Обычный 10 3 7 2 2 2" xfId="752" xr:uid="{841C06D5-431D-4C87-B462-91D6BB28B9EC}"/>
    <cellStyle name="Обычный 10 4" xfId="753" xr:uid="{C6E4AE9B-57BB-44FF-951F-7E152426DF4A}"/>
    <cellStyle name="Обычный 10 5" xfId="754" xr:uid="{94E4560C-29EB-4F6A-BFA6-32A91EE755A3}"/>
    <cellStyle name="Обычный 10 6" xfId="755" xr:uid="{AF93277F-AD00-463D-A437-B297BDF1C794}"/>
    <cellStyle name="Обычный 100" xfId="756" xr:uid="{AD075E0D-A2E1-4CBE-A411-DEF008400F27}"/>
    <cellStyle name="Обычный 100 2" xfId="757" xr:uid="{3B416260-A512-462E-83F8-D30829CE6C72}"/>
    <cellStyle name="Обычный 101" xfId="758" xr:uid="{52566459-6C03-4206-AD4A-68B2CF4098ED}"/>
    <cellStyle name="Обычный 102" xfId="759" xr:uid="{C3E42D79-6670-4BFA-827F-BA44895E6C78}"/>
    <cellStyle name="Обычный 103" xfId="760" xr:uid="{F8790190-6911-4331-A3E6-399F871E8B0F}"/>
    <cellStyle name="Обычный 103 2" xfId="761" xr:uid="{9836221C-1454-4679-82AF-6ED806363004}"/>
    <cellStyle name="Обычный 104" xfId="762" xr:uid="{0B222D4F-81FD-442E-BEFE-90C2B7AFF20F}"/>
    <cellStyle name="Обычный 105" xfId="763" xr:uid="{F1F8691E-ABC9-4DDE-BB9C-947F97803381}"/>
    <cellStyle name="Обычный 105 3" xfId="764" xr:uid="{06441341-F33B-4F6D-B7AC-629D330C78A3}"/>
    <cellStyle name="Обычный 106" xfId="765" xr:uid="{72591E5D-2DCC-4B88-8645-7A8B78B93366}"/>
    <cellStyle name="Обычный 107" xfId="766" xr:uid="{15E9F401-88F2-4C6A-9AF8-5222147D28B7}"/>
    <cellStyle name="Обычный 108" xfId="767" xr:uid="{9F7739BD-AD04-4924-8EF1-DFE07A3893FB}"/>
    <cellStyle name="Обычный 109" xfId="4" xr:uid="{A61F3F91-DF58-4C64-A608-C51FAB52490B}"/>
    <cellStyle name="Обычный 11" xfId="768" xr:uid="{BE83F009-A7E9-414D-8F75-3B1C5A46E873}"/>
    <cellStyle name="Обычный 11 10" xfId="769" xr:uid="{C63F0650-F39E-4FE9-9291-445ADC5A5C47}"/>
    <cellStyle name="Обычный 11 11" xfId="770" xr:uid="{396F5923-4F51-49DA-8CC8-429E9D76DE33}"/>
    <cellStyle name="Обычный 11 12" xfId="771" xr:uid="{62B6C201-C90A-4D70-8E25-A0044A9B6561}"/>
    <cellStyle name="Обычный 11 13" xfId="772" xr:uid="{236710C2-2ECC-43ED-9217-61AFB9C066D4}"/>
    <cellStyle name="Обычный 11 14" xfId="773" xr:uid="{75BC1057-CE2E-42E5-B7A5-E68B033A3084}"/>
    <cellStyle name="Обычный 11 2" xfId="774" xr:uid="{F91A98D0-9AC0-4C4E-8EFE-DB8AC427A440}"/>
    <cellStyle name="Обычный 11 2 2" xfId="775" xr:uid="{402B9CAF-CA64-4EA1-82E4-E3F24937C784}"/>
    <cellStyle name="Обычный 11 2 2 2" xfId="776" xr:uid="{2DDEA50C-2F66-47B1-B2C2-B8B0900BCA0C}"/>
    <cellStyle name="Обычный 11 2 3" xfId="777" xr:uid="{B9F5D5E5-CA55-4103-9027-79236DBD5D27}"/>
    <cellStyle name="Обычный 11 2_Выполнение МАЙ КС-02-образец" xfId="778" xr:uid="{C95B19F6-F208-43D5-B296-BE16BB68BEDD}"/>
    <cellStyle name="Обычный 11 3" xfId="779" xr:uid="{E41BCBF4-2D33-425A-B8C6-4AA944C9FA9C}"/>
    <cellStyle name="Обычный 11 3 2" xfId="780" xr:uid="{9E3A7D42-B2CC-4A58-9C84-91C4EBB346F4}"/>
    <cellStyle name="Обычный 11 4" xfId="781" xr:uid="{DBAB904A-145B-41B0-B2B3-9F75D8AC8507}"/>
    <cellStyle name="Обычный 11 4 2" xfId="782" xr:uid="{04CC330C-7234-4723-B2E5-FE3B471176FC}"/>
    <cellStyle name="Обычный 11 5" xfId="783" xr:uid="{5ACDC4AF-2116-4A8D-9635-4E0399BCF49E}"/>
    <cellStyle name="Обычный 11 5 2" xfId="784" xr:uid="{FAE3C026-7EE9-4AAA-94B9-3DBD69378135}"/>
    <cellStyle name="Обычный 11 6" xfId="785" xr:uid="{9DCCA50F-1765-4F2F-A0D4-F8C069D62AEF}"/>
    <cellStyle name="Обычный 11 7" xfId="786" xr:uid="{99CEB179-FE0B-4C60-85DA-CE3F64C82B62}"/>
    <cellStyle name="Обычный 11 8" xfId="787" xr:uid="{07213E4F-7DF1-47A0-9CF1-23D8CA998AA9}"/>
    <cellStyle name="Обычный 11 9" xfId="788" xr:uid="{BF3E5AD1-8A1A-4F2C-8421-70D6D5E086FA}"/>
    <cellStyle name="Обычный 12" xfId="789" xr:uid="{D746C5C8-5D1F-4942-8588-51B148E35B61}"/>
    <cellStyle name="Обычный 12 2" xfId="790" xr:uid="{C2466030-B864-49B7-B4D5-00C45C9B1E02}"/>
    <cellStyle name="Обычный 12 2 2" xfId="791" xr:uid="{C6C7945B-818F-445C-ABD9-B69BC3BC6DC8}"/>
    <cellStyle name="Обычный 12 3" xfId="792" xr:uid="{5435E6DB-9AEA-4B85-BEC8-3594E524649C}"/>
    <cellStyle name="Обычный 12 3 2" xfId="793" xr:uid="{088FB62E-132C-4011-858B-ABD89AFDCB75}"/>
    <cellStyle name="Обычный 12 4" xfId="794" xr:uid="{AF744A47-AAA4-4AA3-B811-A5F698B3DA00}"/>
    <cellStyle name="Обычный 13" xfId="795" xr:uid="{9D7AE9F3-72CE-49A2-A3DE-2182998A87F8}"/>
    <cellStyle name="Обычный 13 2" xfId="796" xr:uid="{6A1B6232-5F95-4DAD-B61D-5AE6726B506E}"/>
    <cellStyle name="Обычный 13 2 2" xfId="797" xr:uid="{4E58B334-7DC0-4644-8C98-43114DC71100}"/>
    <cellStyle name="Обычный 13 2 3" xfId="798" xr:uid="{E8D7A7DA-BB0A-4B3F-A0BF-31903AAEED75}"/>
    <cellStyle name="Обычный 13 3" xfId="799" xr:uid="{58EBB59E-5343-4738-AE04-33627E72431C}"/>
    <cellStyle name="Обычный 13 3 2" xfId="800" xr:uid="{0C8A6EA3-A0CA-47CB-8F88-72D1C868B057}"/>
    <cellStyle name="Обычный 13 4" xfId="801" xr:uid="{8587F580-B31B-4A92-A8DC-16EFBDBE370A}"/>
    <cellStyle name="Обычный 14" xfId="802" xr:uid="{7D331B02-CCBB-4FFC-A5C4-BA1BA7EDA7E5}"/>
    <cellStyle name="Обычный 14 2" xfId="803" xr:uid="{71919850-88D5-4436-94DE-18DDEBA98C36}"/>
    <cellStyle name="Обычный 14 2 2" xfId="804" xr:uid="{CAECCB81-1C83-4311-AF6C-4EDC9C7BB35C}"/>
    <cellStyle name="Обычный 14 3" xfId="805" xr:uid="{B45EA06B-D735-4C56-B73F-7F03C082C707}"/>
    <cellStyle name="Обычный 14 3 2" xfId="806" xr:uid="{18DBA23B-3CAD-41DF-97CA-4E6D6E29ECD6}"/>
    <cellStyle name="Обычный 14 3 2 2" xfId="807" xr:uid="{41C7DF02-2D8E-4955-A048-77CC4A25CB5A}"/>
    <cellStyle name="Обычный 14 3 2 2 2" xfId="808" xr:uid="{A2463452-A9A1-45D6-A170-6C85F1422422}"/>
    <cellStyle name="Обычный 15" xfId="809" xr:uid="{47DDC780-EF69-4F6C-86B5-5E7DAE74720D}"/>
    <cellStyle name="Обычный 15 2" xfId="810" xr:uid="{106BCF06-A772-41E0-96B2-2B791AA9558B}"/>
    <cellStyle name="Обычный 16" xfId="811" xr:uid="{065C47F5-036D-4BBE-888E-D2E5A4DADCE8}"/>
    <cellStyle name="Обычный 16 2" xfId="812" xr:uid="{1A0C8A10-B2A2-4BFB-90F7-CFA841776F37}"/>
    <cellStyle name="Обычный 16 3" xfId="813" xr:uid="{C5C750E1-7244-49C2-BF16-DA242ED9C353}"/>
    <cellStyle name="Обычный 17" xfId="814" xr:uid="{03D016E5-D8BC-4DF6-8A50-94E3FBEA8BC7}"/>
    <cellStyle name="Обычный 17 2" xfId="815" xr:uid="{42E62A98-789C-4719-B0C0-2F30F4DE0A26}"/>
    <cellStyle name="Обычный 18" xfId="816" xr:uid="{89566A49-30B3-4C18-86EE-6EE3631DB3E8}"/>
    <cellStyle name="Обычный 18 2" xfId="817" xr:uid="{CAD9C1CB-ED43-4A39-8C5A-611F70319F9B}"/>
    <cellStyle name="Обычный 18 3" xfId="818" xr:uid="{58BCF4D6-E30D-4C53-92EF-49408B44AFEA}"/>
    <cellStyle name="Обычный 19" xfId="819" xr:uid="{D5CC192A-66AE-4FDE-AD6E-D53C0A19DBFF}"/>
    <cellStyle name="Обычный 19 2" xfId="820" xr:uid="{A42986C0-B744-4ADC-8C84-142B14E0CC20}"/>
    <cellStyle name="Обычный 2" xfId="821" xr:uid="{E0612220-5500-41C4-8919-3094AAD3F430}"/>
    <cellStyle name="Обычный 2 10" xfId="822" xr:uid="{A37CC31C-F558-4146-9CCA-90D48633AB46}"/>
    <cellStyle name="Обычный 2 10 2" xfId="823" xr:uid="{C7F2E14E-A2A6-49C1-9F2E-1693416AD974}"/>
    <cellStyle name="Обычный 2 11" xfId="824" xr:uid="{14AEE2CE-4161-4182-96BE-B35F0719D0CB}"/>
    <cellStyle name="Обычный 2 11 2" xfId="825" xr:uid="{1AAAC99A-EBE8-4828-8274-50E8372B3EEB}"/>
    <cellStyle name="Обычный 2 12" xfId="826" xr:uid="{9D5D4A81-840B-4E5D-B3A8-130EDFC41E77}"/>
    <cellStyle name="Обычный 2 13" xfId="827" xr:uid="{6032A7C1-7904-42F3-806F-2E2279AFDE45}"/>
    <cellStyle name="Обычный 2 13 2" xfId="828" xr:uid="{0BE768C5-AF50-4689-BC30-818E53F0881F}"/>
    <cellStyle name="Обычный 2 14" xfId="829" xr:uid="{0B6ED279-9FB9-441F-B57D-0B5E3C345A41}"/>
    <cellStyle name="Обычный 2 15" xfId="830" xr:uid="{99F2C4F3-A0FE-4AEB-83E7-C8B5E3F54DF5}"/>
    <cellStyle name="Обычный 2 16" xfId="831" xr:uid="{2D5B9198-4700-4D00-95AE-FD01F0698E93}"/>
    <cellStyle name="Обычный 2 17" xfId="832" xr:uid="{FAA13511-9117-4226-B06E-DB073C47FC13}"/>
    <cellStyle name="Обычный 2 18" xfId="833" xr:uid="{E05E7055-D321-461A-B24F-B4F91C30C578}"/>
    <cellStyle name="Обычный 2 19" xfId="834" xr:uid="{13F8F87D-9D5C-4A2F-B2F8-ABDB34090090}"/>
    <cellStyle name="Обычный 2 2" xfId="835" xr:uid="{4FEFA164-3B01-4897-B291-D3D6CDAE9DE4}"/>
    <cellStyle name="Обычный 2 2 10" xfId="836" xr:uid="{6DE02271-B372-4A29-9B4E-BC852CE0DA12}"/>
    <cellStyle name="Обычный 2 2 11" xfId="837" xr:uid="{008ED40A-F5A4-4683-813E-A29E0B790EE0}"/>
    <cellStyle name="Обычный 2 2 12" xfId="838" xr:uid="{34AD6C94-49AD-444C-B4E7-D9DDE9673FE0}"/>
    <cellStyle name="Обычный 2 2 13" xfId="839" xr:uid="{20772658-D4F8-46D2-84F7-C2E62AFA5E58}"/>
    <cellStyle name="Обычный 2 2 2" xfId="840" xr:uid="{E922F786-BE3E-490E-83C8-4A91F77A9B2A}"/>
    <cellStyle name="Обычный 2 2 2 2" xfId="841" xr:uid="{50FB8588-EC2B-40C1-BF7E-06944372E26D}"/>
    <cellStyle name="Обычный 2 2 2 2 2" xfId="842" xr:uid="{749D9CF0-E075-4068-B001-6543F1762E02}"/>
    <cellStyle name="Обычный 2 2 2 2 3" xfId="843" xr:uid="{87C1066D-2B68-4A39-8BA8-1D4A075BDE45}"/>
    <cellStyle name="Обычный 2 2 2 2 4" xfId="844" xr:uid="{4D6B5B04-8043-4329-BF5E-B827B6281D86}"/>
    <cellStyle name="Обычный 2 2 2 2 5" xfId="845" xr:uid="{275F85F9-28E3-4997-8CF5-7C970ACAED8F}"/>
    <cellStyle name="Обычный 2 2 2 2 6" xfId="846" xr:uid="{7DB410F7-DC95-4B61-9B52-A434655C1C44}"/>
    <cellStyle name="Обычный 2 2 2 2 7" xfId="847" xr:uid="{AA71E8E9-418A-4A78-A28F-1BEF5CD1C409}"/>
    <cellStyle name="Обычный 2 2 2 2 8" xfId="848" xr:uid="{D8C76C5D-8AE0-40F6-9C51-744D30D4A67C}"/>
    <cellStyle name="Обычный 2 2 2 3" xfId="849" xr:uid="{209525EC-404A-4BFE-AD8E-6BE66A7410DE}"/>
    <cellStyle name="Обычный 2 2 2 3 2" xfId="850" xr:uid="{67A7C295-789D-4C9A-9C08-5F3C8416CC1F}"/>
    <cellStyle name="Обычный 2 2 2 3 3" xfId="851" xr:uid="{21C11CE4-CC4D-4D92-B152-DFF8C4947C30}"/>
    <cellStyle name="Обычный 2 2 2 4" xfId="852" xr:uid="{4FC10653-E195-4BA2-BA21-1A7D72903879}"/>
    <cellStyle name="Обычный 2 2 2 5" xfId="853" xr:uid="{7F86CD70-D023-446E-B6E3-47E430EE73C1}"/>
    <cellStyle name="Обычный 2 2 2 6" xfId="854" xr:uid="{ACC502C4-F158-4E17-B520-5297B7A56A3F}"/>
    <cellStyle name="Обычный 2 2 2 7" xfId="855" xr:uid="{0C14674D-CAA9-4ED1-A095-2BEA75B17013}"/>
    <cellStyle name="Обычный 2 2 2 8" xfId="856" xr:uid="{5F2A2A51-3C2B-4710-A89A-FDBB256AC566}"/>
    <cellStyle name="Обычный 2 2 3" xfId="857" xr:uid="{945D878D-7861-4B98-86B3-C0613288CE40}"/>
    <cellStyle name="Обычный 2 2 3 2" xfId="858" xr:uid="{F2784237-D5D5-49DD-85C1-87456F50A39D}"/>
    <cellStyle name="Обычный 2 2 4" xfId="859" xr:uid="{6CA79F2F-D5A1-4299-B6A8-0AC0220B3C13}"/>
    <cellStyle name="Обычный 2 2 4 2" xfId="860" xr:uid="{8F4C3DFA-4CB0-46F5-86FA-5850E401AE3D}"/>
    <cellStyle name="Обычный 2 2 4 2 2" xfId="861" xr:uid="{F945A93C-106C-41A8-86C6-2E4392A989CA}"/>
    <cellStyle name="Обычный 2 2 5" xfId="862" xr:uid="{7F2E39F6-08BD-44F8-B1AF-66A7DFE9DAAC}"/>
    <cellStyle name="Обычный 2 2 5 2" xfId="863" xr:uid="{F69523DF-DD7A-4852-AE3D-2B90FA428CB3}"/>
    <cellStyle name="Обычный 2 2 6" xfId="864" xr:uid="{0E78732A-73BA-4809-B137-0825B93298F7}"/>
    <cellStyle name="Обычный 2 2 7" xfId="865" xr:uid="{94FFEF99-4B50-432E-81C5-A30E1AF0147D}"/>
    <cellStyle name="Обычный 2 2 8" xfId="866" xr:uid="{77C13067-2120-416D-AE3F-29E5386AAA8C}"/>
    <cellStyle name="Обычный 2 2 9" xfId="867" xr:uid="{09A414C3-1279-4C0D-8CFF-11202FC477B7}"/>
    <cellStyle name="Обычный 2 2_металл Сергею 15.10.09" xfId="868" xr:uid="{3FE06B72-94A6-451E-A56B-64E23B7C97C8}"/>
    <cellStyle name="Обычный 2 20" xfId="869" xr:uid="{DD94739C-5281-47AF-AB6F-A6C5F73A6EE7}"/>
    <cellStyle name="Обычный 2 21" xfId="870" xr:uid="{89F8F8AC-6D02-4075-8083-BA2533209AB9}"/>
    <cellStyle name="Обычный 2 26" xfId="871" xr:uid="{895D8C5B-E527-4320-A506-071271B5F48B}"/>
    <cellStyle name="Обычный 2 26 2" xfId="872" xr:uid="{1E1505A8-92C5-4994-8A56-DF547C1C5309}"/>
    <cellStyle name="Обычный 2 3" xfId="873" xr:uid="{3667687C-943C-4FC5-84F7-75AA3A427898}"/>
    <cellStyle name="Обычный 2 3 2" xfId="874" xr:uid="{0E8450E3-CED1-4BA0-9BA6-29F6F7584023}"/>
    <cellStyle name="Обычный 2 3 3" xfId="875" xr:uid="{08E38E2D-4DBF-4BDC-8FD2-6B31C4CAA918}"/>
    <cellStyle name="Обычный 2 3 4" xfId="876" xr:uid="{BE9A7CB5-223D-44B6-8DFE-DB2BA7EB07D7}"/>
    <cellStyle name="Обычный 2 3 5" xfId="877" xr:uid="{E9604FE8-33BE-4887-9B58-82BF54EA89AC}"/>
    <cellStyle name="Обычный 2 4" xfId="878" xr:uid="{54F63FA5-E9D1-4903-BF95-2294809AB458}"/>
    <cellStyle name="Обычный 2 4 2" xfId="879" xr:uid="{00D00526-27DA-4C34-B14E-1EA7738A32A8}"/>
    <cellStyle name="Обычный 2 4 3" xfId="880" xr:uid="{79B11630-8D8B-4FCF-AEBA-203513057D81}"/>
    <cellStyle name="Обычный 2 4 4" xfId="881" xr:uid="{5D709355-C560-420B-9FFD-F32093E61EA7}"/>
    <cellStyle name="Обычный 2 5" xfId="882" xr:uid="{A32CD70D-FB2E-40DE-ACFB-212067D01938}"/>
    <cellStyle name="Обычный 2 5 2" xfId="883" xr:uid="{AC839947-E619-4EBB-AA36-BB6B56649A18}"/>
    <cellStyle name="Обычный 2 5 2 2" xfId="884" xr:uid="{93A1FE82-F3D4-4C83-8F7D-8A000ECA9064}"/>
    <cellStyle name="Обычный 2 5 2 3" xfId="885" xr:uid="{CA66CDEB-1B76-431E-9F84-645029303F91}"/>
    <cellStyle name="Обычный 2 5 2_Выполнение МАЙ КС-02-образец" xfId="886" xr:uid="{37FD801E-E599-4BD4-8E65-7FCBB4B9EA0D}"/>
    <cellStyle name="Обычный 2 5 3" xfId="887" xr:uid="{DA3A2FF2-3D0A-4AB2-8460-17E191CC9798}"/>
    <cellStyle name="Обычный 2 5 4" xfId="888" xr:uid="{8F54B8F6-115C-460C-9E02-049153219F0F}"/>
    <cellStyle name="Обычный 2 5_Выполнение МАЙ КС-02-образец" xfId="889" xr:uid="{52132BB0-2DC6-41B6-9575-F6603333DDFE}"/>
    <cellStyle name="Обычный 2 6" xfId="890" xr:uid="{DA5C4E24-90F5-4BAC-8948-EA4CBE5AA5FB}"/>
    <cellStyle name="Обычный 2 6 2" xfId="891" xr:uid="{7D0ADE5D-5A5D-41FE-A1C0-C62951941453}"/>
    <cellStyle name="Обычный 2 7" xfId="892" xr:uid="{E9D1D829-AB3C-451D-9450-BDEEAB14C8D6}"/>
    <cellStyle name="Обычный 2 7 2" xfId="893" xr:uid="{D5D4D2B2-2A8A-4C88-A625-656B4DF3FD96}"/>
    <cellStyle name="Обычный 2 7 3" xfId="894" xr:uid="{C7B1171A-5F63-4D69-B715-C1A8F2C4100E}"/>
    <cellStyle name="Обычный 2 8" xfId="895" xr:uid="{D25D4A01-1BF3-43AF-8EFE-05C05B2E16D1}"/>
    <cellStyle name="Обычный 2 8 2" xfId="896" xr:uid="{3AF03CD9-41EC-4FDA-A187-A52A63F7EEF4}"/>
    <cellStyle name="Обычный 2 9" xfId="897" xr:uid="{D3F7E849-C372-47CE-AD25-CFB6C98FD58D}"/>
    <cellStyle name="Обычный 2 9 2" xfId="898" xr:uid="{2DCBE826-C498-426C-B292-BF9E0550EA7A}"/>
    <cellStyle name="Обычный 20" xfId="899" xr:uid="{2DBEB39F-DD47-4160-914F-1A852132223D}"/>
    <cellStyle name="Обычный 20 2" xfId="900" xr:uid="{8544ED32-4288-4282-A073-CF3A61D97A1B}"/>
    <cellStyle name="Обычный 20 3" xfId="901" xr:uid="{698792F5-E6CF-466D-BD83-77AC327A5E32}"/>
    <cellStyle name="Обычный 20 4" xfId="902" xr:uid="{60FF9E4C-A08E-4CCE-929C-F35E8BE0A890}"/>
    <cellStyle name="Обычный 20 5" xfId="903" xr:uid="{820B9E30-9F3C-4C6F-800E-4B1E3C7BED75}"/>
    <cellStyle name="Обычный 21" xfId="904" xr:uid="{0ADFAFDE-3DBF-45C7-8A0F-12D3F9681418}"/>
    <cellStyle name="Обычный 21 2" xfId="905" xr:uid="{EC6FD4B4-61B8-417E-80B7-9D8D397350DA}"/>
    <cellStyle name="Обычный 21 3" xfId="906" xr:uid="{C81CD3C9-87D2-4A0C-8270-9EBD8872CD40}"/>
    <cellStyle name="Обычный 22" xfId="907" xr:uid="{4D5ED35D-379A-4482-A88C-F172800ADC2B}"/>
    <cellStyle name="Обычный 22 2" xfId="908" xr:uid="{AA82CA0A-A16C-40FC-8496-D505DE81DCC5}"/>
    <cellStyle name="Обычный 22 3" xfId="909" xr:uid="{FDFA483A-ADD0-4C5A-B4FA-F629632E7BAC}"/>
    <cellStyle name="Обычный 23" xfId="910" xr:uid="{E44EF0A3-1AFC-4C79-A6BD-54FA1775A1EB}"/>
    <cellStyle name="Обычный 23 2" xfId="911" xr:uid="{8156B50E-7202-4D21-A04B-C30D64A96D9B}"/>
    <cellStyle name="Обычный 23 3" xfId="912" xr:uid="{12A98B8F-E170-4286-8466-2DB802F5A114}"/>
    <cellStyle name="Обычный 24" xfId="913" xr:uid="{342B7012-C1A7-471E-A3B2-6079C3A7C202}"/>
    <cellStyle name="Обычный 24 2" xfId="914" xr:uid="{75860FB9-19AE-4C1E-BAFA-8E639216924C}"/>
    <cellStyle name="Обычный 24 2 2" xfId="915" xr:uid="{D74A7E44-0F8F-46C2-B965-A72A7F00E8A6}"/>
    <cellStyle name="Обычный 24 3" xfId="916" xr:uid="{DFAB3335-495B-48DE-8FF6-4B545C0ED2F8}"/>
    <cellStyle name="Обычный 25" xfId="917" xr:uid="{0131874D-318B-42FE-B060-AB9613AFB511}"/>
    <cellStyle name="Обычный 25 2" xfId="918" xr:uid="{8C82A405-A2E5-437B-A8B3-530C077C9CEB}"/>
    <cellStyle name="Обычный 26" xfId="919" xr:uid="{54AB3A56-64D6-4B29-8DD7-6692F9192376}"/>
    <cellStyle name="Обычный 26 2" xfId="920" xr:uid="{CEB6620F-8E66-49AC-89F1-C6C5B1CB6632}"/>
    <cellStyle name="Обычный 26 3" xfId="921" xr:uid="{9B88EC08-7BC3-43E5-93DF-98C1C681C498}"/>
    <cellStyle name="Обычный 27" xfId="922" xr:uid="{B8CA7B58-2978-46E7-BD52-47150B1CAB1E}"/>
    <cellStyle name="Обычный 27 2" xfId="923" xr:uid="{42D2DB3D-9C44-4044-8C2C-C3095EEA2E6A}"/>
    <cellStyle name="Обычный 27 3" xfId="924" xr:uid="{A1693BA7-5BCF-45A2-B54A-47A5A749EDCE}"/>
    <cellStyle name="Обычный 28" xfId="925" xr:uid="{460714D0-352D-4D1A-89FE-E9EE8F4D4803}"/>
    <cellStyle name="Обычный 28 2" xfId="926" xr:uid="{CE20FC0B-6CFE-443B-B3C5-ACE166405134}"/>
    <cellStyle name="Обычный 28 3" xfId="927" xr:uid="{777D1FF9-D2CC-46CB-8F22-0E5D91A106F5}"/>
    <cellStyle name="Обычный 29" xfId="928" xr:uid="{CF27925D-3D0C-43A8-A062-7D88D8F0FD3A}"/>
    <cellStyle name="Обычный 29 2" xfId="929" xr:uid="{D13C508A-1436-4CB6-9F12-CD738C9B2DD2}"/>
    <cellStyle name="Обычный 29 3" xfId="930" xr:uid="{FA27B140-678C-4202-B693-BBE948AF39A2}"/>
    <cellStyle name="Обычный 3" xfId="931" xr:uid="{74261F1B-4C61-410C-9065-9D47DACAEC94}"/>
    <cellStyle name="Обычный 3 10" xfId="932" xr:uid="{5C267227-4916-4E31-A5BC-E3837661EA81}"/>
    <cellStyle name="Обычный 3 2" xfId="933" xr:uid="{39C8084F-624D-4AC5-BD3A-AB1F165ADDA9}"/>
    <cellStyle name="Обычный 3 2 2" xfId="934" xr:uid="{2533B03C-797C-49D0-9A0E-382DEDFF522E}"/>
    <cellStyle name="Обычный 3 2 2 2" xfId="935" xr:uid="{E549078F-0B13-48B7-B91B-A6E53CC981E9}"/>
    <cellStyle name="Обычный 3 2 3" xfId="936" xr:uid="{AE7BA3B9-ACFF-429E-83AB-8CD705BBCB55}"/>
    <cellStyle name="Обычный 3 3" xfId="937" xr:uid="{F0260B45-5AAB-4223-A93E-BAC5171ACCD2}"/>
    <cellStyle name="Обычный 3 3 2" xfId="938" xr:uid="{8354343A-5CE8-4189-95D3-95EDA6D29B17}"/>
    <cellStyle name="Обычный 3 4" xfId="939" xr:uid="{F21DBE5A-8467-4A0C-8D3F-38A95842CBF2}"/>
    <cellStyle name="Обычный 3 4 2" xfId="940" xr:uid="{D1F31193-4D23-44A3-9895-A7D9834F8FDF}"/>
    <cellStyle name="Обычный 3 5" xfId="941" xr:uid="{4C2EA4D7-1DB7-46A9-880B-A982CFC96532}"/>
    <cellStyle name="Обычный 3 5 2" xfId="942" xr:uid="{CFE4A935-B5CD-42A5-8FA6-074D4B656780}"/>
    <cellStyle name="Обычный 3 6" xfId="943" xr:uid="{5955EDBF-C133-4E80-9D40-16782AB075CB}"/>
    <cellStyle name="Обычный 3 7" xfId="944" xr:uid="{2786E153-0BCA-4DEB-820A-BB89EF4A04D0}"/>
    <cellStyle name="Обычный 3 8" xfId="945" xr:uid="{C9AFB2C2-9F23-4EED-8D2B-E4E782B360AB}"/>
    <cellStyle name="Обычный 3 9" xfId="946" xr:uid="{29169D3F-CE40-4F6C-88D8-C01F5B0348CD}"/>
    <cellStyle name="Обычный 30" xfId="947" xr:uid="{D3C56631-E58A-4A03-A1B6-AE4F291D21BB}"/>
    <cellStyle name="Обычный 30 2" xfId="948" xr:uid="{0810B4C2-1DB9-4A91-8C2E-F0BABC3E88D0}"/>
    <cellStyle name="Обычный 30 3" xfId="949" xr:uid="{07CBFA90-8434-48A9-B109-AD84CC66292E}"/>
    <cellStyle name="Обычный 31" xfId="950" xr:uid="{A20FC2A5-2505-478F-A8A4-F1AC20B43F56}"/>
    <cellStyle name="Обычный 31 2" xfId="951" xr:uid="{65193B00-4629-4C10-866F-03A30D9F96F0}"/>
    <cellStyle name="Обычный 31 3" xfId="952" xr:uid="{0233CF7D-0747-4CC9-A959-D976BD298202}"/>
    <cellStyle name="Обычный 32" xfId="953" xr:uid="{98E28E18-0D7E-45AC-9C86-653C328F0D24}"/>
    <cellStyle name="Обычный 32 2" xfId="954" xr:uid="{1E076572-E1D3-4271-9159-11A239A1E06E}"/>
    <cellStyle name="Обычный 32 3" xfId="955" xr:uid="{EDB37F69-E7F1-4E78-85B3-15ED98E65914}"/>
    <cellStyle name="Обычный 33" xfId="956" xr:uid="{8785F9D1-41FB-425D-8AC2-3A9E700CF439}"/>
    <cellStyle name="Обычный 33 2" xfId="957" xr:uid="{20CD952C-90FC-4F2A-AA3A-D44B0093D615}"/>
    <cellStyle name="Обычный 33 3" xfId="958" xr:uid="{D6084FF7-5079-40FE-A4B3-1F447DD83A9F}"/>
    <cellStyle name="Обычный 34" xfId="959" xr:uid="{FA12BA7C-BBB7-409B-9138-A0B077B18E3B}"/>
    <cellStyle name="Обычный 34 2" xfId="960" xr:uid="{35081BC7-4C87-45C4-9375-765C21F0E525}"/>
    <cellStyle name="Обычный 34 3" xfId="961" xr:uid="{CF187FAE-3572-4813-9649-3A886E8C3667}"/>
    <cellStyle name="Обычный 35" xfId="962" xr:uid="{BA3D5544-1E1B-4FDB-965F-43C113DBEA61}"/>
    <cellStyle name="Обычный 35 2" xfId="963" xr:uid="{FF99A1CE-637F-4D70-9A6D-6EFEDEF0865C}"/>
    <cellStyle name="Обычный 36" xfId="964" xr:uid="{D303B3C0-C28D-472C-A422-8B3871E7F415}"/>
    <cellStyle name="Обычный 36 2" xfId="965" xr:uid="{8D1613E7-ABE1-463A-9AC0-0FD029AB75CC}"/>
    <cellStyle name="Обычный 37" xfId="966" xr:uid="{AB99CAB7-A260-4BE5-999A-B8B13500BAC2}"/>
    <cellStyle name="Обычный 37 2" xfId="967" xr:uid="{EAB91EFE-C8DC-4BD4-9547-967461417033}"/>
    <cellStyle name="Обычный 37 3" xfId="968" xr:uid="{C826839A-7AB0-4836-B5E4-43F98C90DB55}"/>
    <cellStyle name="Обычный 38" xfId="969" xr:uid="{3408D41E-721F-4822-A484-965D019183D3}"/>
    <cellStyle name="Обычный 38 2" xfId="970" xr:uid="{10F56468-828F-468E-A46A-EB35DA076C02}"/>
    <cellStyle name="Обычный 39" xfId="971" xr:uid="{88B2EA8A-1A3B-4C9A-8F50-4A2F53C3DB45}"/>
    <cellStyle name="Обычный 39 2" xfId="972" xr:uid="{D69BA860-D5D8-4CB1-9234-38EDB2915635}"/>
    <cellStyle name="Обычный 4" xfId="973" xr:uid="{699E58D6-BB3F-413E-9C73-3F7E3EDE4A0F}"/>
    <cellStyle name="Обычный 4 10" xfId="974" xr:uid="{61D95E1A-6A77-4E19-8AA4-AD943FC1769A}"/>
    <cellStyle name="Обычный 4 11" xfId="975" xr:uid="{A359AF78-72B6-4EFE-B1A2-834DF96DC0DB}"/>
    <cellStyle name="Обычный 4 12" xfId="976" xr:uid="{440ACB03-CEBF-406D-93EB-BA8A5FC80E36}"/>
    <cellStyle name="Обычный 4 13" xfId="977" xr:uid="{1743A4F9-8518-4BD6-8AC4-ADA515D75368}"/>
    <cellStyle name="Обычный 4 2" xfId="978" xr:uid="{3512ED86-B0CF-4B61-9900-55DF826CE111}"/>
    <cellStyle name="Обычный 4 2 2" xfId="979" xr:uid="{77644E83-F7F5-41A0-ACE8-E47E3C0B21C7}"/>
    <cellStyle name="Обычный 4 3" xfId="980" xr:uid="{0EA96E7C-384B-4905-853F-606D580DE85C}"/>
    <cellStyle name="Обычный 4 3 2" xfId="981" xr:uid="{9AE88E5A-6CEA-432E-8A83-38B8771ECA5C}"/>
    <cellStyle name="Обычный 4 4" xfId="982" xr:uid="{E51148ED-DDD5-4939-B0F9-2DE4D3F6DF8B}"/>
    <cellStyle name="Обычный 4 4 2" xfId="983" xr:uid="{475BFC96-8E20-472C-8C60-5C25F6DC6BEB}"/>
    <cellStyle name="Обычный 4 5" xfId="984" xr:uid="{9C28BDE7-93FD-42A4-AB7F-8D3FA86AA64D}"/>
    <cellStyle name="Обычный 4 6" xfId="985" xr:uid="{A6BEB778-2B43-42A0-BC8C-11498E50A07E}"/>
    <cellStyle name="Обычный 4 7" xfId="986" xr:uid="{7AB40AF0-1463-4B74-83CB-898215F10CF9}"/>
    <cellStyle name="Обычный 4 8" xfId="987" xr:uid="{2D5F0F8E-658E-4FEA-9D30-C262F273EE61}"/>
    <cellStyle name="Обычный 4 9" xfId="988" xr:uid="{47C580AC-FA1D-4802-9FD1-B2AC1B4B6F5D}"/>
    <cellStyle name="Обычный 40" xfId="989" xr:uid="{71F6CCA1-44CE-4FF6-8BAB-E930A3317F6D}"/>
    <cellStyle name="Обычный 40 2" xfId="990" xr:uid="{46C5496F-8FEB-4234-9D00-0F0C3BC0DEE3}"/>
    <cellStyle name="Обычный 41" xfId="991" xr:uid="{BE2456E5-A176-4407-A9DC-E7F3D25C3DF9}"/>
    <cellStyle name="Обычный 41 2" xfId="992" xr:uid="{BB4AC52F-DAB8-44E6-84A7-DB4AC608B687}"/>
    <cellStyle name="Обычный 42" xfId="993" xr:uid="{5DF19662-AF4B-4ED6-A641-259603CE998C}"/>
    <cellStyle name="Обычный 42 2" xfId="994" xr:uid="{1DEB4931-10D2-4BA2-835C-5E19A589A919}"/>
    <cellStyle name="Обычный 43" xfId="995" xr:uid="{D0F40F09-9815-4DFC-B295-B4AC4BFF1BE4}"/>
    <cellStyle name="Обычный 43 2" xfId="996" xr:uid="{67ACA5EC-DADC-4368-BB38-EAED1536C621}"/>
    <cellStyle name="Обычный 44" xfId="997" xr:uid="{1357DF89-0255-45A7-A238-957795E2B9AE}"/>
    <cellStyle name="Обычный 44 2" xfId="998" xr:uid="{4E5F49C3-BF4C-42BF-95ED-91C55495E43A}"/>
    <cellStyle name="Обычный 45" xfId="999" xr:uid="{C5B8ADC8-D5E4-49A1-945B-9A46E4C9BAF9}"/>
    <cellStyle name="Обычный 45 2" xfId="1000" xr:uid="{D85CF979-4282-4511-A61B-B62DA2AFC9FA}"/>
    <cellStyle name="Обычный 46" xfId="1001" xr:uid="{2434FA09-4F17-4B89-8E55-ED0C8F495CF0}"/>
    <cellStyle name="Обычный 46 2" xfId="1002" xr:uid="{BD26B730-F950-4F9A-8336-85F79F6A49DE}"/>
    <cellStyle name="Обычный 47" xfId="1003" xr:uid="{F3E5DB6A-E7FF-449C-8532-D8CAF7A6D387}"/>
    <cellStyle name="Обычный 47 2" xfId="1004" xr:uid="{E55230DD-7B16-417A-83F7-AEFAE908E2C9}"/>
    <cellStyle name="Обычный 48" xfId="1005" xr:uid="{8EA43C48-ABBD-4A50-9DA0-BB1257680943}"/>
    <cellStyle name="Обычный 48 2" xfId="1006" xr:uid="{FF7C2825-2190-4932-BA71-D97A95220F97}"/>
    <cellStyle name="Обычный 49" xfId="1007" xr:uid="{74799B52-A460-454B-A24A-97F228688FF7}"/>
    <cellStyle name="Обычный 49 2" xfId="1008" xr:uid="{2131ADAD-FE9E-45F6-9C80-AA3DCB0AA30B}"/>
    <cellStyle name="Обычный 5" xfId="1009" xr:uid="{B7734FAE-458A-4B21-B88D-5F1378CDF569}"/>
    <cellStyle name="Обычный 5 2" xfId="1010" xr:uid="{57992740-0E7B-47DF-9308-424120FBDBEE}"/>
    <cellStyle name="Обычный 5 3" xfId="1011" xr:uid="{48C0B19B-3C0E-4AE0-82A1-892A5669BE67}"/>
    <cellStyle name="Обычный 5 4" xfId="1012" xr:uid="{2CBD3755-A42B-4BCF-8515-074DF30CE1B8}"/>
    <cellStyle name="Обычный 50" xfId="1013" xr:uid="{22035D95-3743-4EEB-BDEC-3E0F5402A01A}"/>
    <cellStyle name="Обычный 50 2" xfId="1014" xr:uid="{2F13C2C9-9A76-48D7-92FC-25BCC497CB47}"/>
    <cellStyle name="Обычный 51" xfId="1015" xr:uid="{401CD082-9807-497A-9811-8C7D6B28AB59}"/>
    <cellStyle name="Обычный 51 2" xfId="1016" xr:uid="{311D4ADC-5EDA-4655-AC09-72506CBC5F85}"/>
    <cellStyle name="Обычный 52" xfId="1017" xr:uid="{A6453107-307B-4811-9EC9-8B24A3FD7620}"/>
    <cellStyle name="Обычный 52 2" xfId="1018" xr:uid="{EB935D50-094C-4894-A4C9-779B64CF41CF}"/>
    <cellStyle name="Обычный 53" xfId="1019" xr:uid="{40A1768D-5CB6-483B-A847-50F65961371D}"/>
    <cellStyle name="Обычный 53 2" xfId="1020" xr:uid="{3C819183-AFD2-4662-8482-F7BBA7A3BB87}"/>
    <cellStyle name="Обычный 54" xfId="1021" xr:uid="{123655DF-0E44-477A-83A9-04B75F569052}"/>
    <cellStyle name="Обычный 54 2" xfId="1022" xr:uid="{01FE7048-06A4-49CF-BB6E-DD4A4D81353E}"/>
    <cellStyle name="Обычный 55" xfId="1023" xr:uid="{2133DAB6-50CA-4F9D-A17F-4D1C88B2ED7F}"/>
    <cellStyle name="Обычный 55 2" xfId="1024" xr:uid="{18842E5D-79D4-4B3D-922B-D94675F490DC}"/>
    <cellStyle name="Обычный 56" xfId="1025" xr:uid="{BFFE8706-3B41-4C5F-B4CB-43A370708E40}"/>
    <cellStyle name="Обычный 56 2" xfId="1026" xr:uid="{BA5EB8EB-32FF-4271-9308-56BC8B6CE274}"/>
    <cellStyle name="Обычный 57" xfId="1027" xr:uid="{8DD4D397-1A47-4C06-9637-D2FCAF3C1B1D}"/>
    <cellStyle name="Обычный 57 2" xfId="1028" xr:uid="{53D3AD1B-54F1-457A-ACAE-24E4D6856CCF}"/>
    <cellStyle name="Обычный 58" xfId="1029" xr:uid="{278CB6D1-20FD-4194-B68E-15339C5C691F}"/>
    <cellStyle name="Обычный 58 2" xfId="1030" xr:uid="{D6F519FB-D8F9-491F-BCC4-C538FF0E1C2D}"/>
    <cellStyle name="Обычный 59" xfId="1031" xr:uid="{4CE28DA2-F554-4719-AB31-FC1B1B63DD4B}"/>
    <cellStyle name="Обычный 59 2" xfId="1032" xr:uid="{82B64A65-0F34-48B2-967B-7693266D16F3}"/>
    <cellStyle name="Обычный 6" xfId="1033" xr:uid="{A3575705-A60E-4EA8-9132-4B69899CF291}"/>
    <cellStyle name="Обычный 6 2" xfId="1034" xr:uid="{F07D70D2-F526-436D-888C-828ADF5C6479}"/>
    <cellStyle name="Обычный 6 2 2" xfId="1035" xr:uid="{9645AEFC-4EEC-4191-8EF6-83EE5EE7C846}"/>
    <cellStyle name="Обычный 6 2 3" xfId="1036" xr:uid="{E66EAE0C-09A5-4DAA-8CE6-DC16EEF1F44B}"/>
    <cellStyle name="Обычный 6 3" xfId="1037" xr:uid="{0642AB6B-D1B3-4A02-83A2-87C83C948BF5}"/>
    <cellStyle name="Обычный 6 3 2" xfId="1038" xr:uid="{B9A69317-8E8B-4166-810F-7A6F5647F83C}"/>
    <cellStyle name="Обычный 6 4" xfId="1039" xr:uid="{8ACF4367-B843-4C10-B9F4-8D1396A4F3CC}"/>
    <cellStyle name="Обычный 6 5" xfId="1040" xr:uid="{B93C1667-A346-467E-996F-18E41DD059B1}"/>
    <cellStyle name="Обычный 6 5 2" xfId="1041" xr:uid="{EC568AB7-2296-4554-B835-EDD4F0270F81}"/>
    <cellStyle name="Обычный 60" xfId="1042" xr:uid="{EBCF0FBD-130A-457C-8C68-C4EC9E1E789B}"/>
    <cellStyle name="Обычный 60 2" xfId="1043" xr:uid="{EE2109A6-6EC3-4AEF-A3CA-31740C2748D8}"/>
    <cellStyle name="Обычный 61" xfId="1044" xr:uid="{EB8B614F-FF6A-4DAA-9BE0-C693E1803507}"/>
    <cellStyle name="Обычный 61 2" xfId="1045" xr:uid="{BD786F40-AAD5-439B-9FE1-2B7EF24018D7}"/>
    <cellStyle name="Обычный 62" xfId="1046" xr:uid="{21AA451A-62A3-4D6B-9B7E-F972E74BDD25}"/>
    <cellStyle name="Обычный 62 2" xfId="1047" xr:uid="{A7F0DDC4-6793-44B9-B6C7-04097D56C432}"/>
    <cellStyle name="Обычный 63" xfId="1048" xr:uid="{190F2AD4-7949-4090-A21D-C2F832D7AD2F}"/>
    <cellStyle name="Обычный 63 2" xfId="1049" xr:uid="{A068E06B-3B36-4FFE-8705-ECDEBD4D7D22}"/>
    <cellStyle name="Обычный 64" xfId="1050" xr:uid="{C2B13C92-A394-4B9F-AD3E-6F3EC9CF7BAA}"/>
    <cellStyle name="Обычный 64 2" xfId="1051" xr:uid="{8AE7F1A7-BF87-448F-AB1D-724BAC6D46D7}"/>
    <cellStyle name="Обычный 65" xfId="1052" xr:uid="{49CFC13B-D012-4678-95FA-61F9E7954B6C}"/>
    <cellStyle name="Обычный 65 2" xfId="1053" xr:uid="{0D985049-4F0F-4D1A-9BFD-883558B40992}"/>
    <cellStyle name="Обычный 66" xfId="1054" xr:uid="{ACF5E855-DF9C-402F-893F-ED6D250A274F}"/>
    <cellStyle name="Обычный 66 2" xfId="1055" xr:uid="{3723FF4A-06BC-4F55-B78D-FE6926D17557}"/>
    <cellStyle name="Обычный 67" xfId="1056" xr:uid="{B7D6EBC5-49E2-48D1-84F0-9388E245C377}"/>
    <cellStyle name="Обычный 67 2" xfId="1057" xr:uid="{402C6DA7-5829-4110-9C7B-CE860FD9EF22}"/>
    <cellStyle name="Обычный 68" xfId="1058" xr:uid="{9588B025-95EE-4038-895A-305A0FAEC593}"/>
    <cellStyle name="Обычный 68 2" xfId="1059" xr:uid="{90F20006-BA70-4DBF-84A9-F7156E59EDD2}"/>
    <cellStyle name="Обычный 69" xfId="1060" xr:uid="{A01EBC8E-5AB6-4BDD-AF20-E402DC83EF39}"/>
    <cellStyle name="Обычный 69 2" xfId="1061" xr:uid="{07437D0F-F7FF-42DF-B779-47DA8721B04D}"/>
    <cellStyle name="Обычный 7" xfId="1062" xr:uid="{E839BE22-5647-48D0-8672-C0FC78AE2099}"/>
    <cellStyle name="Обычный 7 10" xfId="1063" xr:uid="{08127120-F7C8-43B9-AE4F-434B689B4E8A}"/>
    <cellStyle name="Обычный 7 11" xfId="1064" xr:uid="{F73912B1-9111-4127-A08F-7E03CA08D083}"/>
    <cellStyle name="Обычный 7 12" xfId="1065" xr:uid="{63AE244A-6448-4046-9BB8-C5D6EC5CECF1}"/>
    <cellStyle name="Обычный 7 2" xfId="1066" xr:uid="{AD1A2283-1CE0-4FC8-B923-14D2C62625D5}"/>
    <cellStyle name="Обычный 7 2 2" xfId="1067" xr:uid="{461FD70F-DEC5-4BF3-BB6C-5FE18310677B}"/>
    <cellStyle name="Обычный 7 2 2 2" xfId="1068" xr:uid="{ABEA0F90-515E-48D1-9150-38817693BB91}"/>
    <cellStyle name="Обычный 7 2 2 2 2" xfId="1069" xr:uid="{E57EAD6A-CB86-46D0-BD2B-FC3DB207340E}"/>
    <cellStyle name="Обычный 7 2 2 2 2 2" xfId="1070" xr:uid="{CBCAF748-5CA1-46B2-9E51-277BDF0E3D93}"/>
    <cellStyle name="Обычный 7 2 2 2 2 2 2" xfId="1071" xr:uid="{933ACA3B-0EDD-48B6-98A3-ABBD3F02A8CC}"/>
    <cellStyle name="Обычный 7 2 2 2 2 2 2 2" xfId="1072" xr:uid="{82464676-48BA-4716-B443-1F74F387227E}"/>
    <cellStyle name="Обычный 7 2 2 2 2 2 2 2 2" xfId="1073" xr:uid="{63330950-F9CC-41E1-8EAF-264F21CF9FE8}"/>
    <cellStyle name="Обычный 7 2 2 2 2 2 2 2 2 2" xfId="1074" xr:uid="{19618499-68C7-4C2F-BB49-6F47FD5AAD0B}"/>
    <cellStyle name="Обычный 7 2 2 2 2 2 2 2 2 3" xfId="1075" xr:uid="{2C46E86A-2D1A-494E-B996-71326028FDDA}"/>
    <cellStyle name="Обычный 7 2 2 2 2 2 2 2 2 3 2" xfId="1076" xr:uid="{2BD4AD81-888E-4D99-8313-2CAFEF51420C}"/>
    <cellStyle name="Обычный 7 2 2 2 2 2 2 2 2 4" xfId="1077" xr:uid="{41F25E24-4C10-410A-9FB2-B94522DB0064}"/>
    <cellStyle name="Обычный 7 2 2 2 2 2 2 2 2 5" xfId="1078" xr:uid="{4AF7301F-0840-451A-906C-91DCA1F4DF76}"/>
    <cellStyle name="Обычный 7 2 2 2 2 2 2 3" xfId="1079" xr:uid="{EF7A23BE-3A6F-4D10-91FA-E4102FE92BDD}"/>
    <cellStyle name="Обычный 7 2 2 2 2 2 2 4" xfId="1080" xr:uid="{68731F6D-F97B-411C-B4A1-64C2E88E5834}"/>
    <cellStyle name="Обычный 7 2 2 2 2 2 3" xfId="1081" xr:uid="{6A911EFE-9355-45A2-A925-C0C050CE6B0E}"/>
    <cellStyle name="Обычный 7 2 2 2 2 2 3 2" xfId="1082" xr:uid="{A736BF44-C584-4348-A306-434C930D7AAA}"/>
    <cellStyle name="Обычный 7 2 2 2 2 2 4" xfId="1083" xr:uid="{58802B67-DA27-472F-96D1-24026E22047D}"/>
    <cellStyle name="Обычный 7 2 2 2 2 2 4 2" xfId="1084" xr:uid="{1C8854A2-478A-423E-960E-D32FB158CCBE}"/>
    <cellStyle name="Обычный 7 2 2 2 2 2 4 3" xfId="1085" xr:uid="{3F17D495-CE15-48D0-8EC8-0F1A425624BB}"/>
    <cellStyle name="Обычный 7 2 2 2 2 2 4 3 2" xfId="1086" xr:uid="{F2F6D913-C3C5-42CE-A348-247891C5CD0E}"/>
    <cellStyle name="Обычный 7 2 2 2 2 2 5" xfId="1087" xr:uid="{49855C6D-DFE1-4DB9-92F0-EBBC41C23ECC}"/>
    <cellStyle name="Обычный 7 2 2 2 2 2 6" xfId="1088" xr:uid="{4AE188C7-6FCF-4A8E-9471-53849F3B1D57}"/>
    <cellStyle name="Обычный 7 2 2 2 2 2 7" xfId="1089" xr:uid="{C89C9331-570F-41F9-9AA8-579247E8D5B4}"/>
    <cellStyle name="Обычный 7 2 2 2 2 2 8" xfId="1090" xr:uid="{BAC7EC3B-C51E-4138-8C9A-B7B6AA13D13B}"/>
    <cellStyle name="Обычный 7 2 2 2 2 3" xfId="1091" xr:uid="{7FBCCDC9-43C7-4AD2-9140-9DAC3AB1566C}"/>
    <cellStyle name="Обычный 7 2 2 2 2 3 10" xfId="1092" xr:uid="{DDF396D5-6F61-4A70-BEC9-E26CE30D617F}"/>
    <cellStyle name="Обычный 7 2 2 2 2 3 2" xfId="1093" xr:uid="{A49B4A74-9344-4B98-B5F1-6AA32505A23E}"/>
    <cellStyle name="Обычный 7 2 2 2 2 3 2 2" xfId="1094" xr:uid="{9584FBA4-4F9B-452D-B0D5-42D22C60B739}"/>
    <cellStyle name="Обычный 7 2 2 2 2 3 3" xfId="1095" xr:uid="{81D938AB-9C0C-467C-AB47-0911CD0B2EAA}"/>
    <cellStyle name="Обычный 7 2 2 2 2 3 3 2" xfId="1096" xr:uid="{C01B0281-85F0-4622-888A-985848A26678}"/>
    <cellStyle name="Обычный 7 2 2 2 2 3 3 3" xfId="1097" xr:uid="{0111B873-FF70-4E86-AC0C-958D7BBF3B99}"/>
    <cellStyle name="Обычный 7 2 2 2 2 3 3 3 2" xfId="1098" xr:uid="{F1218DC8-229D-4B56-ABD6-1041F4E1AC10}"/>
    <cellStyle name="Обычный 7 2 2 2 2 3 3 3 2 2" xfId="1099" xr:uid="{F893118E-0515-4217-907C-AD80D1B177A4}"/>
    <cellStyle name="Обычный 7 2 2 2 2 3 3 3 2 2 2" xfId="1100" xr:uid="{997589CF-712A-450E-A866-C9CBBDFF8C86}"/>
    <cellStyle name="Обычный 7 2 2 2 2 3 4" xfId="1101" xr:uid="{99284600-58D8-4E8F-95CC-99D5A40059E6}"/>
    <cellStyle name="Обычный 7 2 2 2 2 3 4 2" xfId="1102" xr:uid="{4AEDBA53-EDB8-416D-A281-CED54BBB36A3}"/>
    <cellStyle name="Обычный 7 2 2 2 2 3 4 2 2" xfId="1103" xr:uid="{11DEC75D-1EBA-42FD-AEBF-8BCECC3D3874}"/>
    <cellStyle name="Обычный 7 2 2 2 2 3 4 2 2 2" xfId="1104" xr:uid="{6BCA51AA-9639-4CA3-8452-6BEA117BE283}"/>
    <cellStyle name="Обычный 7 2 2 2 2 3 4 2 2 2 2" xfId="1105" xr:uid="{C40BA71D-A5BC-42C3-B976-849F37C58E27}"/>
    <cellStyle name="Обычный 7 2 2 2 2 3 4 2 3" xfId="1106" xr:uid="{0C75FC03-6FB3-4F26-B92F-A1FCF7FD650E}"/>
    <cellStyle name="Обычный 7 2 2 2 2 3 4 2 3 2" xfId="1107" xr:uid="{01959BD1-1F56-4587-9B24-2F20CFCA4D0A}"/>
    <cellStyle name="Обычный 7 2 2 2 2 3 4 3" xfId="1108" xr:uid="{8E63D9F5-E0DF-4B45-9DDE-C89C9432C075}"/>
    <cellStyle name="Обычный 7 2 2 2 2 3 5" xfId="1109" xr:uid="{735CC8BF-161E-490D-A661-510E0FAB5C53}"/>
    <cellStyle name="Обычный 7 2 2 2 2 3 6" xfId="1110" xr:uid="{C590951E-FF45-4514-AFD8-84AE00F5FB2E}"/>
    <cellStyle name="Обычный 7 2 2 2 2 3 7" xfId="1111" xr:uid="{A82BD281-AF6D-4A5C-95F2-7AB7350941B3}"/>
    <cellStyle name="Обычный 7 2 2 2 2 3 8" xfId="1112" xr:uid="{8C0BE387-97A9-4223-9DB6-D5DEA9E81C13}"/>
    <cellStyle name="Обычный 7 2 2 2 2 3 8 2" xfId="1113" xr:uid="{A19FF397-AB80-478B-BDC5-E268A990A52A}"/>
    <cellStyle name="Обычный 7 2 2 2 2 3 9" xfId="1114" xr:uid="{1DF0ED57-C00A-4DE6-A2F3-3190B8FCFE4C}"/>
    <cellStyle name="Обычный 7 2 2 2 2 4" xfId="1115" xr:uid="{1B8E8FD3-828D-4C2C-A41D-1D9A8D7A6726}"/>
    <cellStyle name="Обычный 7 2 2 2 3" xfId="1116" xr:uid="{7240877F-0B9F-4C0F-B806-5B189C9CBF97}"/>
    <cellStyle name="Обычный 7 2 2 3" xfId="1117" xr:uid="{E02C8865-FDC0-4250-994F-1F76F9EC11B8}"/>
    <cellStyle name="Обычный 7 2 2 3 2" xfId="1118" xr:uid="{24E4F8E3-0CB8-489E-BC20-D68C77872562}"/>
    <cellStyle name="Обычный 7 2 2 4" xfId="1119" xr:uid="{527DA130-022E-469C-9CF9-30A77EBD1F92}"/>
    <cellStyle name="Обычный 7 2 3" xfId="1120" xr:uid="{E7DDBCF0-5CBA-436C-815E-24A7386E68FF}"/>
    <cellStyle name="Обычный 7 2 3 2" xfId="1121" xr:uid="{E3B70040-DC49-43BB-8FD1-ECF3FF2BB381}"/>
    <cellStyle name="Обычный 7 2 4" xfId="1122" xr:uid="{FEA75FD6-F4E0-47F8-BDE5-5D8E7453B4D5}"/>
    <cellStyle name="Обычный 7 2 5" xfId="1123" xr:uid="{216A86DF-EB04-4F64-A9FF-5B51CD1E43A2}"/>
    <cellStyle name="Обычный 7 3" xfId="1124" xr:uid="{8F43AFCA-3F05-4E28-A14B-E9FB3AFF0F74}"/>
    <cellStyle name="Обычный 7 3 2" xfId="1125" xr:uid="{4532EC60-A2AB-4B7E-9E8A-FB6B7C19A4FB}"/>
    <cellStyle name="Обычный 7 4" xfId="1126" xr:uid="{43A133DC-4FAF-460D-96EE-4DF2A03483D8}"/>
    <cellStyle name="Обычный 7 4 2" xfId="1127" xr:uid="{456B3B79-FB14-40A7-8989-6A073F569808}"/>
    <cellStyle name="Обычный 7 5" xfId="1128" xr:uid="{486CAFDA-CA6D-4482-B605-0067683B15B9}"/>
    <cellStyle name="Обычный 7 5 2" xfId="1129" xr:uid="{B9F30E0D-C3BF-4B99-9986-BA19CBF9FCA9}"/>
    <cellStyle name="Обычный 7 6" xfId="1130" xr:uid="{74566738-CD5E-4AE9-8A7A-C7C46246561D}"/>
    <cellStyle name="Обычный 7 7" xfId="1131" xr:uid="{AB1F1511-845E-4486-9A99-4E02EBDB3429}"/>
    <cellStyle name="Обычный 7 8" xfId="1132" xr:uid="{E29B3E71-625D-4561-8068-06381E50A857}"/>
    <cellStyle name="Обычный 7 9" xfId="1133" xr:uid="{6B94F43A-932B-4375-B1D8-9D617ACE7E58}"/>
    <cellStyle name="Обычный 70" xfId="1134" xr:uid="{FACBA9DC-D493-4B5A-BB71-09116729F3EC}"/>
    <cellStyle name="Обычный 70 2" xfId="1135" xr:uid="{2A2759E6-FC91-46D4-A6BC-589208E341DB}"/>
    <cellStyle name="Обычный 71" xfId="1136" xr:uid="{4AAE8BEF-5943-4343-B634-949DC5DC663C}"/>
    <cellStyle name="Обычный 71 2" xfId="1137" xr:uid="{AD7C32BE-8441-446F-B552-17C034BD5A1C}"/>
    <cellStyle name="Обычный 72" xfId="1138" xr:uid="{D8F69B3B-E51A-49A9-AE72-30EEA65C0471}"/>
    <cellStyle name="Обычный 72 2" xfId="1139" xr:uid="{A23EDE5A-0171-4ECE-A10F-B777F6C3D54F}"/>
    <cellStyle name="Обычный 73" xfId="1140" xr:uid="{9FCCD16A-35B0-48E9-99FF-74EA02B5D949}"/>
    <cellStyle name="Обычный 73 2" xfId="1141" xr:uid="{5956D152-F7D5-48F7-A1CE-7CCFC13AE1BC}"/>
    <cellStyle name="Обычный 74" xfId="1142" xr:uid="{16FA6826-46BB-4D7B-B507-D60EB7680897}"/>
    <cellStyle name="Обычный 74 2" xfId="1143" xr:uid="{D6F49E8F-D749-4300-BB32-32DAD445750B}"/>
    <cellStyle name="Обычный 74 3" xfId="1144" xr:uid="{0A0C879C-BAC3-46CA-A539-9982A9848E3C}"/>
    <cellStyle name="Обычный 75" xfId="1145" xr:uid="{F8CFD429-37F3-4545-B9BF-CFA278BA5DAC}"/>
    <cellStyle name="Обычный 75 2" xfId="1146" xr:uid="{4D3ED28F-CDF3-4E1D-B0D1-8EDFBDBCBD3E}"/>
    <cellStyle name="Обычный 76" xfId="1147" xr:uid="{06DAA66B-4EAD-4EC9-A9C5-F4A9A4EE49C8}"/>
    <cellStyle name="Обычный 76 2" xfId="1148" xr:uid="{4ADF64D2-84DF-4F4E-A9DB-BA1FCFC6DAD3}"/>
    <cellStyle name="Обычный 77" xfId="1149" xr:uid="{C0197210-90FE-4055-88A6-BFB7747346AE}"/>
    <cellStyle name="Обычный 77 2" xfId="1150" xr:uid="{B259761E-13CB-4FDA-A9D2-BADDA28FF691}"/>
    <cellStyle name="Обычный 78" xfId="1151" xr:uid="{753B432A-0E55-4A1B-9730-A1E6A485C1CE}"/>
    <cellStyle name="Обычный 78 2" xfId="1152" xr:uid="{AC991377-EEE3-4DEC-929B-4747E1CF5AB7}"/>
    <cellStyle name="Обычный 79" xfId="1153" xr:uid="{4FB7FA4E-C5C2-4C3C-B2B0-957EEF04F1B6}"/>
    <cellStyle name="Обычный 79 2" xfId="1154" xr:uid="{848D3262-661A-4944-941A-BEF0C19D52B7}"/>
    <cellStyle name="Обычный 8" xfId="1155" xr:uid="{485629CD-D1DB-4314-9DEE-36A4B0E6EDCB}"/>
    <cellStyle name="Обычный 8 2" xfId="1156" xr:uid="{BCA38D8B-8397-48D9-9D80-2B3B814ECB40}"/>
    <cellStyle name="Обычный 8 2 2" xfId="1157" xr:uid="{8BB971AB-B4C6-476A-ACC7-FE09A8710131}"/>
    <cellStyle name="Обычный 8 2 3" xfId="1158" xr:uid="{E924144E-D64F-4D12-A988-820DD6083EE5}"/>
    <cellStyle name="Обычный 8 3" xfId="1159" xr:uid="{566668BC-AB72-4565-AA18-13F5F18E9D44}"/>
    <cellStyle name="Обычный 8 3 2" xfId="1160" xr:uid="{3428028E-DCBF-45E9-8B29-9F839483D35D}"/>
    <cellStyle name="Обычный 8 4" xfId="1161" xr:uid="{2E82E616-EF50-46F1-81F0-81B7103E9FD1}"/>
    <cellStyle name="Обычный 8 4 2" xfId="1162" xr:uid="{FEEF3D92-A239-416E-B641-D97EEC60DD5B}"/>
    <cellStyle name="Обычный 80" xfId="1163" xr:uid="{1EF486EF-A4A7-4BEC-AE09-C81F4CA133E6}"/>
    <cellStyle name="Обычный 80 2" xfId="1164" xr:uid="{0E841D49-FD36-4DE8-ABAA-C24B719018D1}"/>
    <cellStyle name="Обычный 81" xfId="1165" xr:uid="{34C9A097-1F46-48F2-9BA6-27BB668A9510}"/>
    <cellStyle name="Обычный 81 2" xfId="1166" xr:uid="{1B208EDF-1315-49F1-9B46-9B05607A60E8}"/>
    <cellStyle name="Обычный 82" xfId="1167" xr:uid="{527F1252-5C31-4FB9-9996-CC487A5281A9}"/>
    <cellStyle name="Обычный 82 2" xfId="1168" xr:uid="{D78C769F-816B-45EC-8F29-68D3320911C8}"/>
    <cellStyle name="Обычный 83" xfId="1169" xr:uid="{074E89EC-DA92-435D-BCCD-9AA954A72883}"/>
    <cellStyle name="Обычный 83 2" xfId="1170" xr:uid="{F73F0A3B-11CB-499C-83F7-B778B917D464}"/>
    <cellStyle name="Обычный 84" xfId="1171" xr:uid="{D5246199-2077-4099-AE4C-D26B6A998566}"/>
    <cellStyle name="Обычный 84 2" xfId="1172" xr:uid="{08C568BA-22C4-42E5-81E2-118EA9BED19A}"/>
    <cellStyle name="Обычный 85" xfId="1173" xr:uid="{ECF95CA1-1515-46CD-99D1-2C84A04D8332}"/>
    <cellStyle name="Обычный 85 2" xfId="1174" xr:uid="{2B275DEA-A7AC-4B69-8E87-25ABEBB487E4}"/>
    <cellStyle name="Обычный 86" xfId="1175" xr:uid="{2404BCF9-F457-43D5-B606-082A6FDC7CC4}"/>
    <cellStyle name="Обычный 86 2" xfId="1176" xr:uid="{286C6150-1286-482B-9FC0-3C437B27A6FB}"/>
    <cellStyle name="Обычный 87" xfId="1177" xr:uid="{1CFE2E22-1F0C-4CAB-A86F-E7A997269685}"/>
    <cellStyle name="Обычный 87 2" xfId="1178" xr:uid="{9DCE1F09-B373-47F4-958D-A783A99A0BB4}"/>
    <cellStyle name="Обычный 88" xfId="1179" xr:uid="{2689E4EF-8209-49BA-87D3-521D8CB6F796}"/>
    <cellStyle name="Обычный 88 2" xfId="1180" xr:uid="{F582A32E-B525-41A0-9458-3DCCF8C762A1}"/>
    <cellStyle name="Обычный 89" xfId="1181" xr:uid="{2304B1A3-943A-4226-AF12-D2190C7A4028}"/>
    <cellStyle name="Обычный 89 2" xfId="1182" xr:uid="{C7EC5C34-2E22-4537-9FB6-FE2A0BF05D43}"/>
    <cellStyle name="Обычный 9" xfId="1183" xr:uid="{19D62970-E573-4862-8879-411DDF9122B0}"/>
    <cellStyle name="Обычный 9 2" xfId="1184" xr:uid="{B3CCE670-E5ED-4BE2-B838-24880432D42B}"/>
    <cellStyle name="Обычный 9 2 2" xfId="1185" xr:uid="{9DE32DA8-DDDE-4C1C-9C91-1B80EFF652F3}"/>
    <cellStyle name="Обычный 9 2 2 2" xfId="1186" xr:uid="{32B95374-4353-4E8D-961A-0D85061C27D0}"/>
    <cellStyle name="Обычный 9 2 3" xfId="1187" xr:uid="{4FAB024A-253D-4C71-BC77-C726C1CC5421}"/>
    <cellStyle name="Обычный 9 2 3 2" xfId="1188" xr:uid="{BDB79514-5CCC-4BFB-9D5E-6E46FC9DCC77}"/>
    <cellStyle name="Обычный 9 2 3 2 2" xfId="1189" xr:uid="{1E1E28D9-E1B6-4885-8ADB-4D2A90704949}"/>
    <cellStyle name="Обычный 9 2 3 2 2 2" xfId="1190" xr:uid="{0AA3D753-75E8-4ADF-959E-834ABE709F00}"/>
    <cellStyle name="Обычный 9 2 3 2 2 2 2" xfId="1191" xr:uid="{04853B5E-E9CF-4AF6-B026-A01F6FFE11F1}"/>
    <cellStyle name="Обычный 9 2 3 3" xfId="1192" xr:uid="{2E30287E-2512-4DBA-B845-10CE34D13B11}"/>
    <cellStyle name="Обычный 9 2 3 4" xfId="1193" xr:uid="{2BE69193-4667-4227-A4F7-E3CCE657DB03}"/>
    <cellStyle name="Обычный 9 2 3 5" xfId="1194" xr:uid="{4837FF53-60EE-43E9-A622-A63A3F14AD92}"/>
    <cellStyle name="Обычный 9 2 4" xfId="1195" xr:uid="{AE9A8057-80FD-427A-A359-ECF715698997}"/>
    <cellStyle name="Обычный 9 3" xfId="1196" xr:uid="{8DBEFE06-D5EC-4CDB-97E6-A67135767673}"/>
    <cellStyle name="Обычный 9 3 2" xfId="1197" xr:uid="{43F0D49B-0E26-4D16-8436-61BB1098A14E}"/>
    <cellStyle name="Обычный 9 4" xfId="1198" xr:uid="{7BFDEDFD-129C-4FCD-B48E-4B8CF4E393C1}"/>
    <cellStyle name="Обычный 90" xfId="1199" xr:uid="{4BD0B70F-068B-4D4A-AE34-34FDFA881E51}"/>
    <cellStyle name="Обычный 90 2" xfId="1200" xr:uid="{313E2DB9-0CE7-4390-B981-140217704099}"/>
    <cellStyle name="Обычный 91" xfId="1201" xr:uid="{B65B8100-4EF6-435F-B943-A17A846E583B}"/>
    <cellStyle name="Обычный 91 2" xfId="1202" xr:uid="{867814A4-93E9-413F-9DF7-DD0625A2D6A7}"/>
    <cellStyle name="Обычный 92" xfId="1203" xr:uid="{710B1169-DF6E-4FFF-8860-56E0475D67BA}"/>
    <cellStyle name="Обычный 92 2" xfId="1204" xr:uid="{BBAEEDFF-20D2-419E-BE77-EAF6DD0E0399}"/>
    <cellStyle name="Обычный 93" xfId="1205" xr:uid="{10905DA9-809C-4487-944D-CA3E9F18D082}"/>
    <cellStyle name="Обычный 93 2" xfId="1206" xr:uid="{322C13CB-F091-4F18-B586-34727A83F05F}"/>
    <cellStyle name="Обычный 94" xfId="1207" xr:uid="{2B92271E-AF85-4233-81CE-0FDBCC712AD6}"/>
    <cellStyle name="Обычный 94 2" xfId="1208" xr:uid="{E0BD1B46-19DD-4A60-8422-B2A8DF0770C2}"/>
    <cellStyle name="Обычный 95" xfId="1209" xr:uid="{A7D55637-3BDC-4283-9B7E-B159B28668FB}"/>
    <cellStyle name="Обычный 95 2" xfId="1210" xr:uid="{E4840902-AB0F-46A6-9BCE-C8206E57EE67}"/>
    <cellStyle name="Обычный 96" xfId="1211" xr:uid="{FC4F46D8-554E-4473-9A36-199D530193C0}"/>
    <cellStyle name="Обычный 96 2" xfId="1212" xr:uid="{7C3408D2-A988-4935-9FE5-4E70164A71AC}"/>
    <cellStyle name="Обычный 97" xfId="1213" xr:uid="{C26494A9-DE45-4202-9972-BC2470EAA902}"/>
    <cellStyle name="Обычный 97 2" xfId="1214" xr:uid="{8F5A5396-BB46-48CA-B6FB-114BE3FE277C}"/>
    <cellStyle name="Обычный 98" xfId="1215" xr:uid="{64FEAB3A-A6B8-42C1-9641-5FAFCDF45AA7}"/>
    <cellStyle name="Обычный 98 2" xfId="1216" xr:uid="{9A2D0FCF-90E6-4F17-8223-3203D6C447A2}"/>
    <cellStyle name="Обычный 99" xfId="1217" xr:uid="{49D5EBAA-DD4D-45DB-A723-92A8EEF29495}"/>
    <cellStyle name="Обычный 99 2" xfId="1218" xr:uid="{55D3C665-FCF4-4A44-BA13-666395A794E8}"/>
    <cellStyle name="Обычный_рцк" xfId="3" xr:uid="{9A610F83-58FA-45B6-B2EB-9DC1F2AC04C8}"/>
    <cellStyle name="Обычный_Ф-2 кровля уч.356 ПЖС №3" xfId="1" xr:uid="{00000000-0005-0000-0000-000001000000}"/>
    <cellStyle name="Параметр" xfId="1219" xr:uid="{E63A1BF5-ABD6-4E1D-B79E-F0B1FBBD0F06}"/>
    <cellStyle name="ПеременныеСметы" xfId="1220" xr:uid="{EDE49FB5-6ACA-4BA1-9D57-70B426DEE339}"/>
    <cellStyle name="ПеременныеСметы 2" xfId="1221" xr:uid="{6914D435-19D1-4FE8-B4A4-F05F05F7C63B}"/>
    <cellStyle name="ПеременныеСметы 2 2" xfId="1631" xr:uid="{CC3020F7-06C6-42CC-A981-4129278A9E7B}"/>
    <cellStyle name="ПеременныеСметы 3" xfId="1630" xr:uid="{3892D69E-C42B-4ED7-BD92-8028F271A6B6}"/>
    <cellStyle name="Плохой 10 2" xfId="1222" xr:uid="{51B1E37D-5616-4BA9-AE49-FBC0DC2EC5C8}"/>
    <cellStyle name="Плохой 11" xfId="1223" xr:uid="{9394790F-1C0E-4B1A-8EA0-B85A0DB7E011}"/>
    <cellStyle name="Плохой 2" xfId="1224" xr:uid="{EE182059-8F7D-45B1-8A00-FDC3BFE3B8A9}"/>
    <cellStyle name="Плохой 2 2" xfId="1225" xr:uid="{A005028E-B7BE-4955-9DF2-FEE5F52DA2C8}"/>
    <cellStyle name="Плохой 3 2" xfId="1226" xr:uid="{D51DF0AC-B959-49CC-ACC0-384173DCC36E}"/>
    <cellStyle name="Плохой 4 2" xfId="1227" xr:uid="{FF47FC14-D1DC-44BF-A034-2897FD10F1C7}"/>
    <cellStyle name="Плохой 5 2" xfId="1228" xr:uid="{131434E8-6E87-4AA0-BFD0-29E939FCDF4F}"/>
    <cellStyle name="Плохой 6 2" xfId="1229" xr:uid="{BBB4905D-D86B-44D9-8A87-69F37410F8E7}"/>
    <cellStyle name="Плохой 7 2" xfId="1230" xr:uid="{31019820-88AE-4231-A1B4-0404EBFD4D90}"/>
    <cellStyle name="Плохой 8 2" xfId="1231" xr:uid="{AD4F2574-51EA-46E4-AC4A-FDCE64EAC616}"/>
    <cellStyle name="Плохой 9 2" xfId="1232" xr:uid="{6C020746-43DF-4114-8CBE-2D6BFA23FDD2}"/>
    <cellStyle name="Пояснение 10 2" xfId="1233" xr:uid="{C19A10AD-B4BC-4384-9D1B-A3412D3E89C5}"/>
    <cellStyle name="Пояснение 11" xfId="1234" xr:uid="{C4D4EFF3-4FF0-49CC-8E0A-98BA5A3CF0B8}"/>
    <cellStyle name="Пояснение 2" xfId="1235" xr:uid="{0D11B96C-FD86-49E1-A638-7964BD69E6D3}"/>
    <cellStyle name="Пояснение 2 2" xfId="1236" xr:uid="{A48EC03C-F76C-49CF-9933-FF849FA4CF02}"/>
    <cellStyle name="Пояснение 3 2" xfId="1237" xr:uid="{51EAFCC8-CC7B-4522-B807-E1D7157DE4FA}"/>
    <cellStyle name="Пояснение 4 2" xfId="1238" xr:uid="{776041A8-3967-4561-8166-9171B41B4D8D}"/>
    <cellStyle name="Пояснение 5 2" xfId="1239" xr:uid="{C1BB5975-718A-4D46-992D-7C53680FB29D}"/>
    <cellStyle name="Пояснение 6 2" xfId="1240" xr:uid="{DA4168DB-1FB9-4068-A593-2BAF51ECC324}"/>
    <cellStyle name="Пояснение 7 2" xfId="1241" xr:uid="{301C2707-B33A-405D-A166-1F9BB69FAFB6}"/>
    <cellStyle name="Пояснение 8 2" xfId="1242" xr:uid="{8E191EE2-23A4-43B4-A32F-E5AA6FF82980}"/>
    <cellStyle name="Пояснение 9 2" xfId="1243" xr:uid="{3EB9E7C5-1941-4716-AD37-1F069DA929FF}"/>
    <cellStyle name="Примечание 10 2" xfId="1244" xr:uid="{1E5FDB28-BA9A-4DA2-B1D1-2D4256127701}"/>
    <cellStyle name="Примечание 10 2 2" xfId="1245" xr:uid="{84A17958-ED07-4D6B-BC89-06447D186E36}"/>
    <cellStyle name="Примечание 10 2 3" xfId="1246" xr:uid="{335E46C8-4459-4C79-8312-C58F8027A43D}"/>
    <cellStyle name="Примечание 10 2 4" xfId="1247" xr:uid="{461F5D71-C03A-458C-9461-D3E01835B1F1}"/>
    <cellStyle name="Примечание 10 2 5" xfId="1248" xr:uid="{5DCEF167-725C-4692-BC70-5EC81EDE65D5}"/>
    <cellStyle name="Примечание 10 2 6" xfId="1249" xr:uid="{36FF8598-07C4-412F-89AF-DD4955D76A29}"/>
    <cellStyle name="Примечание 10 2 7" xfId="1250" xr:uid="{7C5309A1-0506-4D71-A9A2-DE0619694555}"/>
    <cellStyle name="Примечание 11" xfId="1251" xr:uid="{1FC83ABE-38CF-4A2A-A7A7-6D46961FDE33}"/>
    <cellStyle name="Примечание 11 2" xfId="1252" xr:uid="{B1D20205-7950-4BE6-8896-6FD3CEBD6D85}"/>
    <cellStyle name="Примечание 11 3" xfId="1253" xr:uid="{AA5BC65F-7ACF-4878-BF4B-E4D200324DA2}"/>
    <cellStyle name="Примечание 11 4" xfId="1254" xr:uid="{00E644BB-DC34-42DA-848F-7D7539DAB47E}"/>
    <cellStyle name="Примечание 11 5" xfId="1255" xr:uid="{55A8A8B8-3989-4C33-9038-6C078A07E7D5}"/>
    <cellStyle name="Примечание 11 6" xfId="1256" xr:uid="{13914CDA-EE0B-456C-96C6-5D057F8C0BE4}"/>
    <cellStyle name="Примечание 11 7" xfId="1257" xr:uid="{FF8685C1-BB17-4A03-B19D-C8CEA8499D98}"/>
    <cellStyle name="Примечание 2" xfId="1258" xr:uid="{602CC0A9-221A-403F-96A2-4EEA4EC62201}"/>
    <cellStyle name="Примечание 2 2" xfId="1259" xr:uid="{B47E0092-B3AA-4B2A-A995-2F1739680635}"/>
    <cellStyle name="Примечание 2 2 2" xfId="1260" xr:uid="{1428F712-4827-47C1-936E-98F341A79C62}"/>
    <cellStyle name="Примечание 2 2 3" xfId="1261" xr:uid="{005D6010-91B4-40F3-B5C9-51E2C41FC109}"/>
    <cellStyle name="Примечание 2 2 4" xfId="1262" xr:uid="{A5353349-14E2-41F9-B913-10B164AAF681}"/>
    <cellStyle name="Примечание 2 2 5" xfId="1263" xr:uid="{3A2E05B1-DBCF-4CD0-8CAC-9729C0220DCC}"/>
    <cellStyle name="Примечание 2 2 6" xfId="1264" xr:uid="{DAD3B93F-CF33-45BC-A324-C1E38629F2D8}"/>
    <cellStyle name="Примечание 2 2 7" xfId="1265" xr:uid="{9CDC1F91-22C9-4687-A3C1-36ED0212F49A}"/>
    <cellStyle name="Примечание 2 3" xfId="1266" xr:uid="{751502DC-09B6-4C39-A6E0-9D8A98BA665C}"/>
    <cellStyle name="Примечание 2 4" xfId="1267" xr:uid="{C7E74748-D8E3-4D20-95F3-1B8FCD3B69EA}"/>
    <cellStyle name="Примечание 2 5" xfId="1268" xr:uid="{F067BBE3-DC67-476A-AD76-BEAA7B95C570}"/>
    <cellStyle name="Примечание 2 6" xfId="1269" xr:uid="{658F3A63-FEA3-4ED4-993D-FE2ED2408934}"/>
    <cellStyle name="Примечание 2 7" xfId="1270" xr:uid="{C25814F5-0BFD-4FBB-9902-DDDB23672C14}"/>
    <cellStyle name="Примечание 2 8" xfId="1271" xr:uid="{48DE6AAA-2649-4316-B9C1-276F5D2DF222}"/>
    <cellStyle name="Примечание 3 2" xfId="1272" xr:uid="{E1F8382B-DDAE-49EF-93DE-749155048D5B}"/>
    <cellStyle name="Примечание 3 2 2" xfId="1273" xr:uid="{4ED76533-7735-465B-AEDA-43770F8B0B87}"/>
    <cellStyle name="Примечание 3 2 3" xfId="1274" xr:uid="{3DCE2FB5-4300-4EB2-A336-1AEC2F7194BA}"/>
    <cellStyle name="Примечание 3 2 4" xfId="1275" xr:uid="{BA32A350-8A74-4D5A-8403-FF1E5E7D0025}"/>
    <cellStyle name="Примечание 3 2 5" xfId="1276" xr:uid="{EEA4E43A-7E78-4BEB-B90E-63953C8366B4}"/>
    <cellStyle name="Примечание 3 2 6" xfId="1277" xr:uid="{76425387-3A05-454D-9B04-A8853336ABB3}"/>
    <cellStyle name="Примечание 3 2 7" xfId="1278" xr:uid="{91D1E3B3-8299-4692-B85D-5F9BE65E359D}"/>
    <cellStyle name="Примечание 4 2" xfId="1279" xr:uid="{F428BEBC-C824-4C77-8D0E-CB1579697F2B}"/>
    <cellStyle name="Примечание 4 2 2" xfId="1280" xr:uid="{6C566D64-B9AD-4651-B8F9-FC3EABE701FD}"/>
    <cellStyle name="Примечание 4 2 3" xfId="1281" xr:uid="{DAE2B66B-9514-4EE6-AC14-75290365E0BA}"/>
    <cellStyle name="Примечание 4 2 4" xfId="1282" xr:uid="{D493303D-E6B2-46AF-BED5-1769A5F0A456}"/>
    <cellStyle name="Примечание 4 2 5" xfId="1283" xr:uid="{A3830FE4-64C9-4194-8001-0F4A96D07353}"/>
    <cellStyle name="Примечание 4 2 6" xfId="1284" xr:uid="{6858C1F3-D0E8-4B30-A8E7-624216E608B9}"/>
    <cellStyle name="Примечание 4 2 7" xfId="1285" xr:uid="{17605498-E90A-44E8-B514-F232DCF701A6}"/>
    <cellStyle name="Примечание 5 2" xfId="1286" xr:uid="{DAD1E3B9-F061-4926-8D1B-992C824ECBD3}"/>
    <cellStyle name="Примечание 5 2 2" xfId="1287" xr:uid="{E3CF1C2A-2016-4E0D-A871-A72F6B375698}"/>
    <cellStyle name="Примечание 5 2 3" xfId="1288" xr:uid="{2F38C32D-3DC4-4B9B-8C7C-4F870D6537E9}"/>
    <cellStyle name="Примечание 5 2 4" xfId="1289" xr:uid="{B8AABD22-7F4B-4094-BB97-C5026D25C14F}"/>
    <cellStyle name="Примечание 5 2 5" xfId="1290" xr:uid="{41404EA0-161E-4321-B906-D58CB989722A}"/>
    <cellStyle name="Примечание 5 2 6" xfId="1291" xr:uid="{350371A0-278C-4239-A1E7-5D7B1347AC31}"/>
    <cellStyle name="Примечание 5 2 7" xfId="1292" xr:uid="{A2464B0E-6763-4D52-A19C-8A4D6D836287}"/>
    <cellStyle name="Примечание 6 2" xfId="1293" xr:uid="{AA90193B-6E62-4A6B-9FBE-FA19097B5E3D}"/>
    <cellStyle name="Примечание 6 2 2" xfId="1294" xr:uid="{251CD400-06BD-4931-98FD-52974AB7B600}"/>
    <cellStyle name="Примечание 6 2 3" xfId="1295" xr:uid="{70AE59F7-C637-4F0F-B8A0-9C8D93A289D9}"/>
    <cellStyle name="Примечание 6 2 4" xfId="1296" xr:uid="{4F14F5AC-3BC3-4F2E-A6A5-86297D51BBAC}"/>
    <cellStyle name="Примечание 6 2 5" xfId="1297" xr:uid="{25D3B007-F900-458E-89B6-9E54B1AE39A8}"/>
    <cellStyle name="Примечание 6 2 6" xfId="1298" xr:uid="{0738A229-1B13-4C20-9EFB-108257196C54}"/>
    <cellStyle name="Примечание 6 2 7" xfId="1299" xr:uid="{E901B86C-2A5D-4183-9FAE-EC800FE4EDFE}"/>
    <cellStyle name="Примечание 7 2" xfId="1300" xr:uid="{9160F80C-18D5-420A-BD8B-7C4D046270C9}"/>
    <cellStyle name="Примечание 7 2 2" xfId="1301" xr:uid="{C8BB1FB5-9D54-45FB-B5A5-03C9FFC55CC7}"/>
    <cellStyle name="Примечание 7 2 3" xfId="1302" xr:uid="{9DD7320A-70B7-4D05-8078-11E62BF38895}"/>
    <cellStyle name="Примечание 7 2 4" xfId="1303" xr:uid="{03DF4D8A-D89A-4848-B7E6-7B524247E4B9}"/>
    <cellStyle name="Примечание 7 2 5" xfId="1304" xr:uid="{C14D95EE-6C81-445A-B2DA-00BB3A54219B}"/>
    <cellStyle name="Примечание 7 2 6" xfId="1305" xr:uid="{47420017-20C8-45E8-8B0F-96489EB17278}"/>
    <cellStyle name="Примечание 7 2 7" xfId="1306" xr:uid="{0FC30064-7BA4-40DD-8D6F-EF412970B189}"/>
    <cellStyle name="Примечание 8 2" xfId="1307" xr:uid="{21926D7A-1BB3-47FF-B5D8-890165EA09E8}"/>
    <cellStyle name="Примечание 8 2 2" xfId="1308" xr:uid="{10AA4301-7737-4609-8BD1-B556F0948533}"/>
    <cellStyle name="Примечание 8 2 3" xfId="1309" xr:uid="{3AB2895B-EE9F-4496-BAB7-5BF507F976EA}"/>
    <cellStyle name="Примечание 8 2 4" xfId="1310" xr:uid="{91C66D0F-1939-4AFE-8531-A61A61E2F108}"/>
    <cellStyle name="Примечание 8 2 5" xfId="1311" xr:uid="{610D43C4-D205-4812-A937-621B9A9016D0}"/>
    <cellStyle name="Примечание 8 2 6" xfId="1312" xr:uid="{CDF43E01-5683-45D0-B50D-25DD68DE0793}"/>
    <cellStyle name="Примечание 8 2 7" xfId="1313" xr:uid="{689DAA3B-6FE8-4372-B011-FE444F96A3FC}"/>
    <cellStyle name="Примечание 9 2" xfId="1314" xr:uid="{33618E8C-17E9-4BE1-9A8A-188DEC33253C}"/>
    <cellStyle name="Примечание 9 2 2" xfId="1315" xr:uid="{2D064CAF-5B7E-4A1F-979A-525D74B55654}"/>
    <cellStyle name="Примечание 9 2 3" xfId="1316" xr:uid="{265E2593-43FF-4CAB-A474-ACFC52A3B598}"/>
    <cellStyle name="Примечание 9 2 4" xfId="1317" xr:uid="{A1B797D5-0E4D-4F11-8EEC-F51E65717434}"/>
    <cellStyle name="Примечание 9 2 5" xfId="1318" xr:uid="{EEB3FBD2-8FC5-4C5D-8620-6E27D64491C6}"/>
    <cellStyle name="Примечание 9 2 6" xfId="1319" xr:uid="{2973E23A-D222-42A5-A481-FD2338C3790C}"/>
    <cellStyle name="Примечание 9 2 7" xfId="1320" xr:uid="{0CCF9706-6060-482E-9098-FF9322E6E6E1}"/>
    <cellStyle name="Процентный 2" xfId="1321" xr:uid="{C28A52B7-2E84-43E8-A611-65705A7CD628}"/>
    <cellStyle name="Процентный 2 2" xfId="1322" xr:uid="{471B34B6-5031-4E4D-8A7D-C92109414F9A}"/>
    <cellStyle name="Процентный 3" xfId="1323" xr:uid="{61A5AA75-9803-43DE-8A73-BD5DAEE8FA98}"/>
    <cellStyle name="Процентный 3 2" xfId="1324" xr:uid="{6B5FCB91-161F-4067-8573-8BDF69A1B731}"/>
    <cellStyle name="РесСмета" xfId="1325" xr:uid="{3C20BDD6-44E7-4727-A592-91BA4805A186}"/>
    <cellStyle name="РесСмета 2" xfId="1326" xr:uid="{9AC71019-6CE9-4385-83CC-F05EA7A3C697}"/>
    <cellStyle name="РесСмета 2 2" xfId="1633" xr:uid="{6A17EC61-704E-475E-B919-74F2B8A74CD4}"/>
    <cellStyle name="РесСмета 3" xfId="1632" xr:uid="{92B8345F-99F6-475E-94CB-473C3AAD9861}"/>
    <cellStyle name="СводВедРес" xfId="1327" xr:uid="{3CF284C2-06C7-4F51-85F8-08CB53D9471E}"/>
    <cellStyle name="СводкаСтоимРаб" xfId="1328" xr:uid="{AED6348B-3835-40EA-9A7D-B66CDBED12D0}"/>
    <cellStyle name="СводкаСтоимРаб 2" xfId="1329" xr:uid="{9109F467-3296-48C0-986A-8148F45443DC}"/>
    <cellStyle name="СводкаСтоимРаб 2 2" xfId="1635" xr:uid="{6B1C5050-66D0-4090-AA51-5CD3C321A588}"/>
    <cellStyle name="СводкаСтоимРаб 3" xfId="1634" xr:uid="{B30115AD-59F5-4E20-A646-149A53F6603E}"/>
    <cellStyle name="СводРасч" xfId="1330" xr:uid="{7BF772A0-0915-48FF-A20C-757906B78074}"/>
    <cellStyle name="Связанная ячейка 10 2" xfId="1331" xr:uid="{41C64602-DBC5-4E70-B9A3-EC18339804AD}"/>
    <cellStyle name="Связанная ячейка 11" xfId="1332" xr:uid="{CA6D4130-4738-4086-A9C9-0F6AEC810ADB}"/>
    <cellStyle name="Связанная ячейка 2" xfId="1333" xr:uid="{FB921054-3463-467E-B8D6-E9F3A85D1981}"/>
    <cellStyle name="Связанная ячейка 2 2" xfId="1334" xr:uid="{C5659633-95F7-41CE-8146-A7B45BEE28F7}"/>
    <cellStyle name="Связанная ячейка 3 2" xfId="1335" xr:uid="{B78F8B79-1F44-464A-90DD-2FDE76D2D6B5}"/>
    <cellStyle name="Связанная ячейка 4 2" xfId="1336" xr:uid="{6EF951D1-4D31-46A2-96D9-A72650ED2B1A}"/>
    <cellStyle name="Связанная ячейка 5 2" xfId="1337" xr:uid="{075CA41A-B137-4E9E-B1C5-D9FAAB9C3EEA}"/>
    <cellStyle name="Связанная ячейка 6 2" xfId="1338" xr:uid="{BA684635-0060-4527-A2F5-0E0D8F4C8780}"/>
    <cellStyle name="Связанная ячейка 7 2" xfId="1339" xr:uid="{EF49E225-0223-497B-8306-FAA049C29664}"/>
    <cellStyle name="Связанная ячейка 8 2" xfId="1340" xr:uid="{E8C80105-54FB-402B-A7BB-763B1D3DD701}"/>
    <cellStyle name="Связанная ячейка 9 2" xfId="1341" xr:uid="{C6AF1F45-E495-4ADF-8F17-14A6B508AB7A}"/>
    <cellStyle name="Стиль 1" xfId="1342" xr:uid="{4E1C1950-C722-4BFE-92C1-4611774553C5}"/>
    <cellStyle name="Стиль 1 2" xfId="1343" xr:uid="{83D70F05-BD54-4BB7-818F-8662B1E357D4}"/>
    <cellStyle name="Текст предупреждения 10 2" xfId="1344" xr:uid="{FC0E633B-409C-4E88-9C97-FD223E42E353}"/>
    <cellStyle name="Текст предупреждения 11" xfId="1345" xr:uid="{C463FFFD-FF46-4B33-A7D1-DE72362418A5}"/>
    <cellStyle name="Текст предупреждения 2" xfId="1346" xr:uid="{FA951170-60CB-415B-9213-B7B5D3DA0E0D}"/>
    <cellStyle name="Текст предупреждения 2 2" xfId="1347" xr:uid="{82EB15FD-18ED-4A55-8E98-D38B3EB43BB2}"/>
    <cellStyle name="Текст предупреждения 3 2" xfId="1348" xr:uid="{03E7040A-FFDC-435B-A4A1-79CBEC109105}"/>
    <cellStyle name="Текст предупреждения 4 2" xfId="1349" xr:uid="{16309288-5F23-49D3-AF6A-1A771ACAB6F8}"/>
    <cellStyle name="Текст предупреждения 5 2" xfId="1350" xr:uid="{DED6F727-D1E6-41DC-8BDC-FA6B217012AA}"/>
    <cellStyle name="Текст предупреждения 6 2" xfId="1351" xr:uid="{5EECCC72-7362-4B3D-98D5-84ACF8D368C3}"/>
    <cellStyle name="Текст предупреждения 7 2" xfId="1352" xr:uid="{430147C7-8BC0-48EA-8427-FA49B81CFDD1}"/>
    <cellStyle name="Текст предупреждения 8 2" xfId="1353" xr:uid="{B3C5B76A-0665-400C-9D6B-0E88330505D7}"/>
    <cellStyle name="Текст предупреждения 9 2" xfId="1354" xr:uid="{6558CFE1-EE39-43E8-80A5-66C8529180C2}"/>
    <cellStyle name="Титул" xfId="1355" xr:uid="{7D7B610E-84F1-432F-AED4-E9422F9B55D4}"/>
    <cellStyle name="Тысячи [0]_laroux" xfId="1356" xr:uid="{525BE469-C914-4629-B8B4-1866989477ED}"/>
    <cellStyle name="Тысячи_laroux" xfId="1357" xr:uid="{EDE34CBC-D577-4B96-AE2E-BBB83A6A15AC}"/>
    <cellStyle name="Финансовый" xfId="2" builtinId="3"/>
    <cellStyle name="Финансовый [0] 2" xfId="1358" xr:uid="{CF68C0F7-8410-4356-BA37-6B4C982C0216}"/>
    <cellStyle name="Финансовый 10" xfId="1359" xr:uid="{1897D429-4527-49C0-ACFA-DA82442BE204}"/>
    <cellStyle name="Финансовый 10 2" xfId="1360" xr:uid="{E6DAD729-EB59-46CE-9F44-655228BE623C}"/>
    <cellStyle name="Финансовый 10 2 2" xfId="1361" xr:uid="{8FBEA5D4-BE06-49EC-BF3F-D042E04EAEF4}"/>
    <cellStyle name="Финансовый 10 2 3" xfId="1362" xr:uid="{36D59682-0282-4918-B4F8-87B0EBFD13F7}"/>
    <cellStyle name="Финансовый 10 3" xfId="1363" xr:uid="{25948DEA-3D8D-4A1A-BF18-982894F41E5B}"/>
    <cellStyle name="Финансовый 10 3 2" xfId="1364" xr:uid="{DD185D54-D83E-47FA-BDE1-71B34982A1D1}"/>
    <cellStyle name="Финансовый 11" xfId="1365" xr:uid="{A10BCC73-6178-4560-B0C6-CB4C9E9E1F2C}"/>
    <cellStyle name="Финансовый 11 2" xfId="1366" xr:uid="{715D61F3-ECEB-4698-8AFC-BD099FF4B9D9}"/>
    <cellStyle name="Финансовый 11 2 2" xfId="1367" xr:uid="{50901FF4-BD57-4A25-BA5E-1823586D6ACB}"/>
    <cellStyle name="Финансовый 11 3" xfId="1368" xr:uid="{46853BD6-8F36-46C4-889F-F25A3D4E6AF7}"/>
    <cellStyle name="Финансовый 11 3 2" xfId="1369" xr:uid="{37D2026A-340D-4C02-B233-C34010DB6EA8}"/>
    <cellStyle name="Финансовый 12" xfId="1370" xr:uid="{E39801C5-E7A2-46CF-8D4E-2F11F78D09A5}"/>
    <cellStyle name="Финансовый 12 2" xfId="1371" xr:uid="{BC2994DE-87E9-4C79-8F71-1D3412E1C032}"/>
    <cellStyle name="Финансовый 12 2 2" xfId="1372" xr:uid="{55FE9E4C-63E0-4C4E-BFDD-8B4D8EADF2EF}"/>
    <cellStyle name="Финансовый 12 3" xfId="1373" xr:uid="{24C67EEC-22E9-41CF-840D-738EFC42767B}"/>
    <cellStyle name="Финансовый 12 3 2" xfId="1374" xr:uid="{AF0BAEFF-D31E-4C24-8EF0-ABDF3DBF0EC5}"/>
    <cellStyle name="Финансовый 13" xfId="1375" xr:uid="{5C5F33F3-5464-44CA-AAF1-81E43D6E9F74}"/>
    <cellStyle name="Финансовый 13 2" xfId="1376" xr:uid="{B1C79BC5-42C5-426E-A239-8B8140BD250F}"/>
    <cellStyle name="Финансовый 13 2 2" xfId="1377" xr:uid="{AD728F8C-E6F5-445B-A5C9-43F4164A8E8B}"/>
    <cellStyle name="Финансовый 13 3" xfId="1378" xr:uid="{A310C7F7-C5CD-44AC-A14A-09ECCB1AF1A1}"/>
    <cellStyle name="Финансовый 13 3 2" xfId="1379" xr:uid="{1F30A417-0768-4FF5-AD0E-36A4C042E2A8}"/>
    <cellStyle name="Финансовый 13 4" xfId="1380" xr:uid="{B1D1901F-759A-4289-B163-AE49D607C3AB}"/>
    <cellStyle name="Финансовый 13 4 2" xfId="1381" xr:uid="{F8774C93-0BB6-4A6C-9797-F1B3352FE625}"/>
    <cellStyle name="Финансовый 13 5" xfId="1382" xr:uid="{DFA640DC-EFD4-4086-A99E-05F778F357DE}"/>
    <cellStyle name="Финансовый 13 6" xfId="1383" xr:uid="{B6EDD4D8-3052-43DB-A49C-51B9E783B880}"/>
    <cellStyle name="Финансовый 14" xfId="1384" xr:uid="{60EA8782-4138-477A-80DA-AE411D9E9661}"/>
    <cellStyle name="Финансовый 14 2" xfId="1385" xr:uid="{8DC3001E-445F-4BFE-B18F-495F1367FC12}"/>
    <cellStyle name="Финансовый 14 3" xfId="1386" xr:uid="{DFE30130-0055-465F-BC30-8DE9AEF6485C}"/>
    <cellStyle name="Финансовый 14 3 2" xfId="1387" xr:uid="{CBB7125B-8593-4D3C-A869-6B2BC8955902}"/>
    <cellStyle name="Финансовый 15" xfId="1388" xr:uid="{EBE8FC73-15B2-4B40-AF70-5555DF1F6C76}"/>
    <cellStyle name="Финансовый 15 2" xfId="1389" xr:uid="{E2C9F02A-9991-4CB2-8143-FFEF9BB8A3C1}"/>
    <cellStyle name="Финансовый 15 3" xfId="1390" xr:uid="{1516A143-2674-4DBF-89D6-6CE13C36C93B}"/>
    <cellStyle name="Финансовый 16" xfId="1391" xr:uid="{78CABCF7-C0C7-486C-81B0-F57B29905282}"/>
    <cellStyle name="Финансовый 16 2" xfId="1392" xr:uid="{7DF81069-E719-4E96-B1DD-85C690D54B3B}"/>
    <cellStyle name="Финансовый 17" xfId="1393" xr:uid="{A52B61DD-6FF7-4E95-AFF2-7266EC826597}"/>
    <cellStyle name="Финансовый 17 2" xfId="1394" xr:uid="{65760825-1D94-4A55-970F-5FC8BCC146DE}"/>
    <cellStyle name="Финансовый 18" xfId="1395" xr:uid="{ED34F866-D0DA-4D37-9D59-78DDB4C879EA}"/>
    <cellStyle name="Финансовый 18 2" xfId="1396" xr:uid="{6A9C725B-8531-4717-A351-8940761096A9}"/>
    <cellStyle name="Финансовый 19" xfId="1397" xr:uid="{3F5A9BFE-1493-45A0-B009-702F202E655E}"/>
    <cellStyle name="Финансовый 19 2" xfId="1398" xr:uid="{43F6B8D0-F95A-4D87-B3CA-C197AC120C1D}"/>
    <cellStyle name="Финансовый 2" xfId="1399" xr:uid="{CAA292DE-5827-46D9-BAE4-430F1AA5815F}"/>
    <cellStyle name="Финансовый 2 10" xfId="1400" xr:uid="{161B43EE-C15B-4E05-8B10-63564D614BD9}"/>
    <cellStyle name="Финансовый 2 10 2" xfId="1401" xr:uid="{FE6F294D-EB9D-4C61-BF08-E4E7F5DFEC4D}"/>
    <cellStyle name="Финансовый 2 11" xfId="1402" xr:uid="{C017CD27-993B-4349-9063-24F3E4D8290B}"/>
    <cellStyle name="Финансовый 2 11 2" xfId="1403" xr:uid="{87789FD3-342E-4507-A741-50C09A469783}"/>
    <cellStyle name="Финансовый 2 12" xfId="1404" xr:uid="{F2ADFAF5-52B9-404F-AFAF-DB53AF0BC7C5}"/>
    <cellStyle name="Финансовый 2 12 2" xfId="1405" xr:uid="{254FE8EB-3186-46FA-8C89-7F7363F62484}"/>
    <cellStyle name="Финансовый 2 13" xfId="1406" xr:uid="{6ACAA4F2-41BD-4983-8E1A-BD7199F95E41}"/>
    <cellStyle name="Финансовый 2 14" xfId="1407" xr:uid="{3075E2D7-8AF3-457F-8B60-F2E03C3C2D46}"/>
    <cellStyle name="Финансовый 2 15" xfId="1408" xr:uid="{940B62A6-4F28-4955-8A03-3A44832CDCD6}"/>
    <cellStyle name="Финансовый 2 16" xfId="1409" xr:uid="{1965A40F-E31B-43D3-82B9-C562E3A17727}"/>
    <cellStyle name="Финансовый 2 17" xfId="1410" xr:uid="{AD5E470D-47B3-4927-83A9-62488D436CF4}"/>
    <cellStyle name="Финансовый 2 18" xfId="1411" xr:uid="{632D7B4A-A886-4FAE-921D-CB157CA780BA}"/>
    <cellStyle name="Финансовый 2 19" xfId="1412" xr:uid="{F1F76CE2-2715-4B91-995D-806A08FB5942}"/>
    <cellStyle name="Финансовый 2 2" xfId="1413" xr:uid="{181B80C2-EBF4-4A4B-A65F-A5B34672D4F6}"/>
    <cellStyle name="Финансовый 2 2 10" xfId="1414" xr:uid="{6AB83839-3B4E-4607-B2AC-533B33FD2347}"/>
    <cellStyle name="Финансовый 2 2 10 2" xfId="1415" xr:uid="{AB0AFCE6-506C-4938-818E-050BCE715AC5}"/>
    <cellStyle name="Финансовый 2 2 11" xfId="1416" xr:uid="{469F350B-C9B1-407D-8D10-3A8938889B56}"/>
    <cellStyle name="Финансовый 2 2 11 2" xfId="1417" xr:uid="{790EE1F1-695B-4128-902C-9D7966177805}"/>
    <cellStyle name="Финансовый 2 2 12" xfId="1418" xr:uid="{59D52929-6B50-47F1-89C7-B637139FE2C9}"/>
    <cellStyle name="Финансовый 2 2 12 2" xfId="1419" xr:uid="{B3F65D20-F4DE-427A-9A29-B02EF1E9DC69}"/>
    <cellStyle name="Финансовый 2 2 13" xfId="1420" xr:uid="{9EA29D3A-75D1-4857-8E6D-DF23555933AF}"/>
    <cellStyle name="Финансовый 2 2 14" xfId="1421" xr:uid="{C3A06C7B-BAC6-453C-95E8-A5734B2FD97B}"/>
    <cellStyle name="Финансовый 2 2 15" xfId="1422" xr:uid="{108D25EE-5AE9-4D58-B9AD-6C0BCFD7F48C}"/>
    <cellStyle name="Финансовый 2 2 16" xfId="1423" xr:uid="{0FE020BF-7560-4C53-BEA4-57330BA053C6}"/>
    <cellStyle name="Финансовый 2 2 2" xfId="1424" xr:uid="{3ED8A4D4-1898-4F90-8955-5772F04C78BD}"/>
    <cellStyle name="Финансовый 2 2 2 2" xfId="1425" xr:uid="{4C2675B7-051D-4823-98A2-715FBE756048}"/>
    <cellStyle name="Финансовый 2 2 2 2 2" xfId="1426" xr:uid="{9E422D7E-0E8C-4FD3-8E37-95F591020CE2}"/>
    <cellStyle name="Финансовый 2 2 2 2 3" xfId="1427" xr:uid="{0F97F668-16C3-4925-BBFF-2DE2EB7ACB85}"/>
    <cellStyle name="Финансовый 2 2 2 3" xfId="1428" xr:uid="{B732DDEA-0509-4C4A-B3A6-2F941CD0CD9E}"/>
    <cellStyle name="Финансовый 2 2 2 4" xfId="1429" xr:uid="{8F2AB424-CA17-475C-B7E8-750684CC6532}"/>
    <cellStyle name="Финансовый 2 2 2 5" xfId="1430" xr:uid="{F3248C78-7BD5-46AD-AEA9-78BFD59DCA06}"/>
    <cellStyle name="Финансовый 2 2 3" xfId="1431" xr:uid="{C18DB4DB-53AD-4283-8B93-959D82DBFDC2}"/>
    <cellStyle name="Финансовый 2 2 3 2" xfId="1432" xr:uid="{FD190DD0-46AD-409B-A4D4-8C7F813B5F9F}"/>
    <cellStyle name="Финансовый 2 2 3 3" xfId="1433" xr:uid="{8309D9CB-398F-4833-98E0-CB68D0B7E78F}"/>
    <cellStyle name="Финансовый 2 2 4" xfId="1434" xr:uid="{55F3F623-64DD-4CCC-AD49-EBA88BE74033}"/>
    <cellStyle name="Финансовый 2 2 4 2" xfId="1435" xr:uid="{ADA1873D-44C9-4311-B696-E432D1577F08}"/>
    <cellStyle name="Финансовый 2 2 5" xfId="1436" xr:uid="{61ECD10A-F24C-418F-942D-26D423194774}"/>
    <cellStyle name="Финансовый 2 2 5 2" xfId="1437" xr:uid="{4F3FFAC6-02E0-400A-91E8-604832096F57}"/>
    <cellStyle name="Финансовый 2 2 6" xfId="1438" xr:uid="{8E1468A4-C7AB-42A2-BA1E-F161CECEB761}"/>
    <cellStyle name="Финансовый 2 2 6 2" xfId="1439" xr:uid="{8824AC6C-C2E2-4076-84EC-B500912EA0AD}"/>
    <cellStyle name="Финансовый 2 2 7" xfId="1440" xr:uid="{A8377A82-57B3-40B9-BA58-923BD328B684}"/>
    <cellStyle name="Финансовый 2 2 7 2" xfId="1441" xr:uid="{C9CCF24B-A9B2-468F-948D-8E153F8053B6}"/>
    <cellStyle name="Финансовый 2 2 8" xfId="1442" xr:uid="{8A0AD435-30C4-433C-8564-B55B65D40F92}"/>
    <cellStyle name="Финансовый 2 2 8 2" xfId="1443" xr:uid="{4B34A3ED-8C1F-4279-9B76-F08107EC91F6}"/>
    <cellStyle name="Финансовый 2 2 9" xfId="1444" xr:uid="{B6359988-ADF1-4CBD-9BA5-EE9B3FE69F40}"/>
    <cellStyle name="Финансовый 2 2 9 2" xfId="1445" xr:uid="{3D4B8321-DF31-4B4D-B99E-F5B61C9D9D54}"/>
    <cellStyle name="Финансовый 2 20" xfId="1446" xr:uid="{4786BD4B-4CE0-47CE-ABCE-701504BEED99}"/>
    <cellStyle name="Финансовый 2 21" xfId="1447" xr:uid="{46425ED0-B96E-4398-9F89-746C6F22EF19}"/>
    <cellStyle name="Финансовый 2 22" xfId="1448" xr:uid="{2E5C72D8-6D99-4F2B-8C9E-86412515C3B1}"/>
    <cellStyle name="Финансовый 2 23" xfId="1449" xr:uid="{CF2AC93F-D02A-4CC7-9FE5-4343A311A997}"/>
    <cellStyle name="Финансовый 2 3" xfId="1450" xr:uid="{5F968FAF-4518-4853-9E63-479BEFC778A5}"/>
    <cellStyle name="Финансовый 2 3 2" xfId="1451" xr:uid="{B649E5EC-61F2-4E23-8923-2B28786B6685}"/>
    <cellStyle name="Финансовый 2 3 3" xfId="1452" xr:uid="{778F1C19-AB49-47EB-9477-EE199FDBE294}"/>
    <cellStyle name="Финансовый 2 4" xfId="1453" xr:uid="{52045336-124F-425B-AF5E-3879C2C35F7E}"/>
    <cellStyle name="Финансовый 2 4 2" xfId="1454" xr:uid="{A5B32EBC-B3C8-4769-9388-3E54C224023F}"/>
    <cellStyle name="Финансовый 2 4 3" xfId="1455" xr:uid="{3DE57609-0306-4900-8D80-647EB10B70F3}"/>
    <cellStyle name="Финансовый 2 5" xfId="1456" xr:uid="{6DA54180-8C0F-4189-B3F6-E8560DE2E61C}"/>
    <cellStyle name="Финансовый 2 5 2" xfId="1457" xr:uid="{A7BBA5A3-174F-4732-950C-F033B4885FBB}"/>
    <cellStyle name="Финансовый 2 6" xfId="1458" xr:uid="{2053AC75-C646-4EEF-AA94-7D2AD64C13C9}"/>
    <cellStyle name="Финансовый 2 6 2" xfId="1459" xr:uid="{796794BD-507C-4872-BC24-A5FED0D9AC36}"/>
    <cellStyle name="Финансовый 2 7" xfId="1460" xr:uid="{897FC0F0-A927-44F6-A49B-68F55D10619B}"/>
    <cellStyle name="Финансовый 2 7 2" xfId="1461" xr:uid="{A42B8F62-260A-4F74-AD9F-C1060A21AEA2}"/>
    <cellStyle name="Финансовый 2 8" xfId="1462" xr:uid="{6D9DAE06-912A-46BB-9204-B3BD8DB8A3CB}"/>
    <cellStyle name="Финансовый 2 8 2" xfId="1463" xr:uid="{DEFDE84D-38C5-4CB4-AD16-EC07DA15F4AC}"/>
    <cellStyle name="Финансовый 2 9" xfId="1464" xr:uid="{EFE0DA27-A5FF-41C1-9590-CC19E0D65A90}"/>
    <cellStyle name="Финансовый 2 9 2" xfId="1465" xr:uid="{E88FAF96-2985-48A9-BEDE-4E692299D62D}"/>
    <cellStyle name="Финансовый 2_металл Сергею 15.10.09" xfId="1466" xr:uid="{7A511876-959B-4811-9E58-9358523867D8}"/>
    <cellStyle name="Финансовый 20" xfId="1467" xr:uid="{B7ED7FDE-FB62-4AD8-AB84-FCF31522FB4A}"/>
    <cellStyle name="Финансовый 20 2" xfId="1468" xr:uid="{5265C3FB-08D9-4E65-983F-19C0CACD8C2B}"/>
    <cellStyle name="Финансовый 21" xfId="1469" xr:uid="{85C0809E-73BD-4610-8309-1C56D418D623}"/>
    <cellStyle name="Финансовый 21 2" xfId="1470" xr:uid="{1F3F5244-540C-4007-9CB5-CA83D357BC17}"/>
    <cellStyle name="Финансовый 22" xfId="1471" xr:uid="{AB3B4C80-2BFD-4BE0-8D1A-98A00716E20D}"/>
    <cellStyle name="Финансовый 22 2" xfId="1472" xr:uid="{2F4EB69B-6092-43E4-AA97-40BC9DAE1B53}"/>
    <cellStyle name="Финансовый 23" xfId="1473" xr:uid="{ED6F1FBC-924A-40B2-8C01-8D5A2F31B943}"/>
    <cellStyle name="Финансовый 23 2" xfId="1474" xr:uid="{4117F97D-76DE-43D3-89E4-9B96470226C4}"/>
    <cellStyle name="Финансовый 24" xfId="1475" xr:uid="{9A370DE1-A5A8-4751-98F1-993FDC680731}"/>
    <cellStyle name="Финансовый 24 2" xfId="1476" xr:uid="{9EF70141-5750-4D01-8CAF-2563CF367AC4}"/>
    <cellStyle name="Финансовый 25" xfId="1477" xr:uid="{5BB33930-A021-43DC-A37C-49E7F64A1D22}"/>
    <cellStyle name="Финансовый 25 2" xfId="1478" xr:uid="{2C62338C-C4B5-4170-9B65-3732D6EFAAB4}"/>
    <cellStyle name="Финансовый 26" xfId="1479" xr:uid="{29E588A7-5A94-49AC-832C-134323E3F9D9}"/>
    <cellStyle name="Финансовый 26 2" xfId="1480" xr:uid="{64B04343-B81A-4982-91C7-820C33AE7E88}"/>
    <cellStyle name="Финансовый 27" xfId="1481" xr:uid="{417A2CAB-C8C7-4A4C-864B-8FDE02D1D08B}"/>
    <cellStyle name="Финансовый 28" xfId="1482" xr:uid="{B5ABCB3B-51E2-4552-A70A-DC81507208C7}"/>
    <cellStyle name="Финансовый 28 2" xfId="1483" xr:uid="{7C7A5F92-8DB3-4EE4-91C2-26A5B668E9DE}"/>
    <cellStyle name="Финансовый 29" xfId="1484" xr:uid="{A7CEE46C-2B01-4B5E-A8CB-721AF3AF686B}"/>
    <cellStyle name="Финансовый 29 2" xfId="1485" xr:uid="{82A11F0D-C376-4541-AF9E-4EB5B96B6F69}"/>
    <cellStyle name="Финансовый 3" xfId="1486" xr:uid="{5C1CE0ED-22A9-4F78-838A-CC6AACBA62A4}"/>
    <cellStyle name="Финансовый 3 10" xfId="1487" xr:uid="{BAF9D526-89CE-4083-9A26-90CDA52C7F08}"/>
    <cellStyle name="Финансовый 3 11" xfId="1488" xr:uid="{E8CC9C38-F28A-4B3F-8AD2-52496E592CFE}"/>
    <cellStyle name="Финансовый 3 12" xfId="1489" xr:uid="{1B65F7EA-D095-4030-922E-D3EC2A0BC9DE}"/>
    <cellStyle name="Финансовый 3 13" xfId="1490" xr:uid="{BCDD87A2-708A-4FA3-9D41-C71FB2C6E637}"/>
    <cellStyle name="Финансовый 3 14" xfId="1491" xr:uid="{DD75CF83-CD8F-4358-97F0-160A5346C7AC}"/>
    <cellStyle name="Финансовый 3 15" xfId="1492" xr:uid="{4EABE1DC-C786-49D8-ABDB-5D72192CF1D9}"/>
    <cellStyle name="Финансовый 3 16" xfId="1493" xr:uid="{A7E86CF4-D7C9-4E0B-87FE-42824F6FD64E}"/>
    <cellStyle name="Финансовый 3 17" xfId="1494" xr:uid="{9AB21D22-5FFB-46E9-AC08-E6EC6557FCE9}"/>
    <cellStyle name="Финансовый 3 18" xfId="1495" xr:uid="{EFE42630-B3C2-4F91-AB56-88F793D777B1}"/>
    <cellStyle name="Финансовый 3 19" xfId="1496" xr:uid="{27009379-B156-48C9-9D39-A207B4D03659}"/>
    <cellStyle name="Финансовый 3 2" xfId="1497" xr:uid="{B967C1CF-157A-4DBD-878B-2236B852D799}"/>
    <cellStyle name="Финансовый 3 2 2" xfId="1498" xr:uid="{EE9D81CA-E5C2-4C17-8D5A-39AF199C53A1}"/>
    <cellStyle name="Финансовый 3 2 2 2" xfId="1499" xr:uid="{873250F3-9015-4503-97C8-45E220B8615E}"/>
    <cellStyle name="Финансовый 3 2 2 2 2" xfId="1500" xr:uid="{6EE86AFE-A24D-41B2-8F7D-B27082D35BA3}"/>
    <cellStyle name="Финансовый 3 2 2 2 2 2" xfId="1501" xr:uid="{EEE7C676-39E6-46FF-85C8-C51168C20A23}"/>
    <cellStyle name="Финансовый 3 2 2 2 2 2 2" xfId="1502" xr:uid="{D8F6997C-671C-4DE2-8AA4-DF6BA0E5515A}"/>
    <cellStyle name="Финансовый 3 2 2 2 2 3" xfId="1503" xr:uid="{CB98DE1D-414D-4075-B15D-5BA7F20028A4}"/>
    <cellStyle name="Финансовый 3 2 2 2 3" xfId="1504" xr:uid="{A63C1EF7-9BEB-4DE0-AF96-8575904C2672}"/>
    <cellStyle name="Финансовый 3 2 2 3" xfId="1505" xr:uid="{08EB3508-7C33-4991-80D8-1CE531E209E4}"/>
    <cellStyle name="Финансовый 3 2 2 4" xfId="1506" xr:uid="{C4EA3A26-A81B-4D00-B530-C490FABFC22E}"/>
    <cellStyle name="Финансовый 3 2 3" xfId="1507" xr:uid="{1CAA6353-3D07-47FC-920E-72EC756334C0}"/>
    <cellStyle name="Финансовый 3 2 3 2" xfId="1508" xr:uid="{4A923C75-D64E-4A9E-BB48-C73EC2110D60}"/>
    <cellStyle name="Финансовый 3 2 4" xfId="1509" xr:uid="{6307181C-2F2D-4005-84D6-27C7515AADB5}"/>
    <cellStyle name="Финансовый 3 2 4 2" xfId="1510" xr:uid="{011083AA-4E96-442E-A3EC-6508F8BA05DE}"/>
    <cellStyle name="Финансовый 3 2 5" xfId="1511" xr:uid="{FC71A3B8-6C2C-4663-8859-E064EB3BF559}"/>
    <cellStyle name="Финансовый 3 2 5 2" xfId="1512" xr:uid="{B1750018-F8E6-4F5F-95AA-2AC147914C99}"/>
    <cellStyle name="Финансовый 3 2 6" xfId="1513" xr:uid="{38A4DDFE-5ADC-4AFE-94A3-5B94591CF53C}"/>
    <cellStyle name="Финансовый 3 2 6 2" xfId="1514" xr:uid="{C935CDBF-73B8-4DD3-8D17-911B3B019BF9}"/>
    <cellStyle name="Финансовый 3 2 7" xfId="1515" xr:uid="{01166DC8-4062-45D8-AC11-06F504B0D3E2}"/>
    <cellStyle name="Финансовый 3 2 7 2" xfId="1516" xr:uid="{99AC1CD5-D32F-44D1-8F2A-E331842E2F1F}"/>
    <cellStyle name="Финансовый 3 2 8" xfId="1517" xr:uid="{9833A9A3-FE60-4931-9466-0A21DD59EDFD}"/>
    <cellStyle name="Финансовый 3 2 8 2" xfId="1518" xr:uid="{223A245D-DA9F-45A6-9122-9C53C4AF722F}"/>
    <cellStyle name="Финансовый 3 2 9" xfId="1519" xr:uid="{9BA341B3-F519-4DC7-B528-49287947D547}"/>
    <cellStyle name="Финансовый 3 20" xfId="1520" xr:uid="{C2AB9BE5-58F7-4F4F-86C5-1155147CFA6F}"/>
    <cellStyle name="Финансовый 3 21" xfId="1521" xr:uid="{CC0A31BB-BE9F-4C84-A33C-B0EE8CD75CF9}"/>
    <cellStyle name="Финансовый 3 22" xfId="1522" xr:uid="{E2E50672-79EF-464F-A6C1-A1288487EC3D}"/>
    <cellStyle name="Финансовый 3 22 2" xfId="1523" xr:uid="{FDCE24EE-9B21-4269-B1E6-9EBEEEA4E6AE}"/>
    <cellStyle name="Финансовый 3 3" xfId="1524" xr:uid="{79976E63-69CD-41BF-958A-AB763C50DA08}"/>
    <cellStyle name="Финансовый 3 3 2" xfId="1525" xr:uid="{062C6630-66DC-43BF-92F1-D6CEB60144AE}"/>
    <cellStyle name="Финансовый 3 4" xfId="1526" xr:uid="{577C9EC2-E7E8-42EF-8376-0A9D3D17DE43}"/>
    <cellStyle name="Финансовый 3 4 2" xfId="1527" xr:uid="{4ECDE79E-2562-473D-9A51-CE616ECB0270}"/>
    <cellStyle name="Финансовый 3 4 2 2" xfId="1528" xr:uid="{22649874-3C7F-4DB0-BF6E-0D7062277B74}"/>
    <cellStyle name="Финансовый 3 4 3" xfId="1529" xr:uid="{668FBFD1-BB67-4694-BA37-B489DAA585DD}"/>
    <cellStyle name="Финансовый 3 5" xfId="1530" xr:uid="{2C4241B4-53C6-4557-AE2C-A37D4BC4577B}"/>
    <cellStyle name="Финансовый 3 6" xfId="1531" xr:uid="{2DA5878C-5E23-429A-BE97-9F78CC6CF9D5}"/>
    <cellStyle name="Финансовый 3 7" xfId="1532" xr:uid="{FF5D847B-F1B7-4013-A741-D4D765B89EFE}"/>
    <cellStyle name="Финансовый 3 8" xfId="1533" xr:uid="{A08AB8E0-3993-4F94-A117-F858DB67ECE6}"/>
    <cellStyle name="Финансовый 3 9" xfId="1534" xr:uid="{4CF9B8BE-CE6B-4BFC-8744-0E2F40DCCB6B}"/>
    <cellStyle name="Финансовый 30" xfId="1535" xr:uid="{0A568F8F-2571-47BE-B01E-83F0AF35E010}"/>
    <cellStyle name="Финансовый 31" xfId="1536" xr:uid="{8DC89BD4-8E44-47A1-9C7A-A20C188D12FF}"/>
    <cellStyle name="Финансовый 32" xfId="1537" xr:uid="{5C708CD7-5BF8-4BFB-8B46-8ECD6FB0E12A}"/>
    <cellStyle name="Финансовый 33" xfId="1538" xr:uid="{BE5E211B-3BE7-4A97-8496-CA63135BF6DD}"/>
    <cellStyle name="Финансовый 34" xfId="1539" xr:uid="{04524A6C-827D-449D-9C00-AAB26F037CD3}"/>
    <cellStyle name="Финансовый 35" xfId="1540" xr:uid="{70C26B92-7C14-433F-9110-8AB270090C7E}"/>
    <cellStyle name="Финансовый 36" xfId="1541" xr:uid="{6AC7CF07-6E08-43B5-90E1-FDA9E0A33292}"/>
    <cellStyle name="Финансовый 37" xfId="1542" xr:uid="{0F31CBFA-2DFC-4ED6-9E16-D0CE17DD61F6}"/>
    <cellStyle name="Финансовый 38" xfId="1543" xr:uid="{71E7EC18-8A10-465C-B1A6-358A105A6D8B}"/>
    <cellStyle name="Финансовый 39" xfId="1544" xr:uid="{1EA562AE-0174-43E3-9954-2EA9B1319E3B}"/>
    <cellStyle name="Финансовый 4" xfId="1545" xr:uid="{7E4A061D-7EDD-4384-9365-C7A80BA00F7F}"/>
    <cellStyle name="Финансовый 4 10" xfId="1546" xr:uid="{0A53F9B7-9988-4F0E-9C17-7A173BB190E6}"/>
    <cellStyle name="Финансовый 4 11" xfId="1547" xr:uid="{38960A93-9331-4242-B4A9-DDA046249698}"/>
    <cellStyle name="Финансовый 4 12" xfId="1548" xr:uid="{92349C5E-E746-40A7-9824-2E1E94EC3C9F}"/>
    <cellStyle name="Финансовый 4 13" xfId="1549" xr:uid="{C38F3DB7-077B-4B0D-9C21-6F900F1951EF}"/>
    <cellStyle name="Финансовый 4 14" xfId="1550" xr:uid="{8F1E86D0-E95F-4C7A-A73A-8F337DE8ABD7}"/>
    <cellStyle name="Финансовый 4 15" xfId="1551" xr:uid="{15072C1E-E29C-4F1F-B4E6-0DCAD7DCCDC6}"/>
    <cellStyle name="Финансовый 4 2" xfId="1552" xr:uid="{121F754E-C39F-4723-A046-D6A2BDDFCF7F}"/>
    <cellStyle name="Финансовый 4 2 2" xfId="1553" xr:uid="{88CE8426-F4C4-43FF-8D0B-5AC9A0899A7A}"/>
    <cellStyle name="Финансовый 4 2 3" xfId="1554" xr:uid="{CE2F72BF-2D95-4906-AC16-80A30E5D6564}"/>
    <cellStyle name="Финансовый 4 3" xfId="1555" xr:uid="{466A32EA-CBC4-43D6-9AA0-0A1D0F98AAF7}"/>
    <cellStyle name="Финансовый 4 4" xfId="1556" xr:uid="{0946B7D7-8D43-4C46-94E5-B68B486A57EB}"/>
    <cellStyle name="Финансовый 4 5" xfId="1557" xr:uid="{14C642DC-90C8-49F3-B66B-3AAB19308D98}"/>
    <cellStyle name="Финансовый 4 6" xfId="1558" xr:uid="{18AE1486-45B5-43AD-8003-E3E53C333D87}"/>
    <cellStyle name="Финансовый 4 7" xfId="1559" xr:uid="{1FE64C3E-4458-4CD2-97DC-5A9C8C4A39CB}"/>
    <cellStyle name="Финансовый 4 8" xfId="1560" xr:uid="{B2F74C29-181F-4141-889E-595F143A53CF}"/>
    <cellStyle name="Финансовый 4 9" xfId="1561" xr:uid="{087BCD68-9A1B-43D5-99AD-85C891BA1FA2}"/>
    <cellStyle name="Финансовый 40" xfId="1562" xr:uid="{0EBF6373-E2E7-4BFB-B01D-50EBDBDF0368}"/>
    <cellStyle name="Финансовый 41" xfId="1563" xr:uid="{D4526B32-B2F9-4F84-9A28-7CF2870BEEC6}"/>
    <cellStyle name="Финансовый 42" xfId="1564" xr:uid="{F6DF515A-3C76-4869-9E4E-D467511A6591}"/>
    <cellStyle name="Финансовый 43" xfId="1565" xr:uid="{DB2A7C6E-8432-40C6-9643-9CD424BC6147}"/>
    <cellStyle name="Финансовый 44" xfId="1566" xr:uid="{4E0C7F53-5DA5-4E51-8E18-1C4A17970B9D}"/>
    <cellStyle name="Финансовый 5" xfId="1567" xr:uid="{B3663708-B8ED-4AE6-A587-326009030F6B}"/>
    <cellStyle name="Финансовый 5 2" xfId="1568" xr:uid="{146F5FF1-68AC-42D3-BA6B-9ACB5DD8093F}"/>
    <cellStyle name="Финансовый 5 2 2" xfId="1569" xr:uid="{F74BB411-2671-4C46-A3B2-B2940A06A34C}"/>
    <cellStyle name="Финансовый 5 2 2 2" xfId="1570" xr:uid="{D0FD7B73-CF92-43DF-BB57-B48658E7BB11}"/>
    <cellStyle name="Финансовый 5 3" xfId="1571" xr:uid="{A2EA8C8E-729F-4BFE-9F20-A9FC23EC0222}"/>
    <cellStyle name="Финансовый 5 4" xfId="1572" xr:uid="{F3D20BEA-B8D0-467C-811D-A8D60F54EC82}"/>
    <cellStyle name="Финансовый 5 5" xfId="1573" xr:uid="{5E20B172-9F00-4FDB-8CC5-E8CDA30B6765}"/>
    <cellStyle name="Финансовый 5 6" xfId="1574" xr:uid="{E9EC3842-995E-4D1A-BD54-35F1654BF3C4}"/>
    <cellStyle name="Финансовый 5 6 2" xfId="1575" xr:uid="{56E6BA52-3551-454A-95BA-6E5C73BEE9B5}"/>
    <cellStyle name="Финансовый 6" xfId="1576" xr:uid="{C936EC98-54F9-4B9D-8720-E631516EE0EF}"/>
    <cellStyle name="Финансовый 6 2" xfId="1577" xr:uid="{6B2E593E-9DBD-4F73-A28B-622119CB695D}"/>
    <cellStyle name="Финансовый 6 2 2" xfId="1578" xr:uid="{D97CE4B2-8F48-440A-A8C3-9443F6129C24}"/>
    <cellStyle name="Финансовый 6 3" xfId="1579" xr:uid="{BC2912C2-0802-4E49-8FD8-69CE68D977C3}"/>
    <cellStyle name="Финансовый 6 4" xfId="1580" xr:uid="{F3DAA633-F116-4B80-9F40-D96FC67646C0}"/>
    <cellStyle name="Финансовый 6 4 2" xfId="1581" xr:uid="{A4166D46-7DC2-4834-87F2-5BAD988A12EC}"/>
    <cellStyle name="Финансовый 6 5" xfId="1582" xr:uid="{77C08381-4C2D-4078-96D2-16AA738FEEAA}"/>
    <cellStyle name="Финансовый 7" xfId="1583" xr:uid="{1BA2DDFA-A277-47D9-A15F-D9CB3A875FD3}"/>
    <cellStyle name="Финансовый 7 2" xfId="1584" xr:uid="{7EE049A8-495B-4553-8B85-B4D534A22F91}"/>
    <cellStyle name="Финансовый 7 3" xfId="1585" xr:uid="{3063A08D-8B48-4A46-91BA-8983F98B5FC1}"/>
    <cellStyle name="Финансовый 8" xfId="1586" xr:uid="{2AE3023D-E343-4661-8359-6583FA5465E5}"/>
    <cellStyle name="Финансовый 8 2" xfId="1587" xr:uid="{4B15F32E-7497-49DD-95E4-E3A6198EB846}"/>
    <cellStyle name="Финансовый 8 2 2" xfId="1588" xr:uid="{836D5DDE-438D-49FF-B5E6-4B8274907E2E}"/>
    <cellStyle name="Финансовый 8 2 2 2" xfId="1589" xr:uid="{7BF30262-76FF-4D18-9FE3-2EDEBACC57CE}"/>
    <cellStyle name="Финансовый 8 3" xfId="1590" xr:uid="{EA1FE1F3-74FF-447B-9F83-163BD311A532}"/>
    <cellStyle name="Финансовый 8 4" xfId="1591" xr:uid="{F0972EAD-0D80-4EE5-8A53-81EAB7E68BB9}"/>
    <cellStyle name="Финансовый 8 4 2" xfId="1592" xr:uid="{098D0CB2-5A4D-43F8-A388-091F6151EEC8}"/>
    <cellStyle name="Финансовый 9" xfId="1593" xr:uid="{D544C2E9-5B3E-47E8-A4DB-95FED1750EB2}"/>
    <cellStyle name="Финансовый 9 2" xfId="1594" xr:uid="{9EB00561-A2E6-4D09-9020-9113B63AA0EA}"/>
    <cellStyle name="Финансовый 9 2 2" xfId="1595" xr:uid="{B956488A-4671-4F55-81E4-841B5B3C0A79}"/>
    <cellStyle name="Финансовый 9 2 2 2" xfId="1596" xr:uid="{9D79AE03-5E05-493D-A6E9-34D6F1B2A980}"/>
    <cellStyle name="Финансовый 9 3" xfId="1597" xr:uid="{39E1595A-4925-463D-BC44-C86483360B70}"/>
    <cellStyle name="Финансовый 9 4" xfId="1598" xr:uid="{E93AD328-6B76-40F9-AC43-187AE111DBE4}"/>
    <cellStyle name="Финансовый 9 5" xfId="1599" xr:uid="{6B20DD97-BF31-4CBA-956E-F747A91DC27D}"/>
    <cellStyle name="Финансовый 9 5 2" xfId="1600" xr:uid="{F2A47257-231B-40CF-95F6-04A2CDA5DDD7}"/>
    <cellStyle name="Хвост" xfId="1601" xr:uid="{8C8F4832-2B5D-4682-94F7-88BD89CF07CE}"/>
    <cellStyle name="Хороший 10 2" xfId="1602" xr:uid="{42E14A56-8638-40F8-9CA1-4C7442C17838}"/>
    <cellStyle name="Хороший 11" xfId="1603" xr:uid="{D80E5DDB-B944-4155-8195-20C5AA8AD7B7}"/>
    <cellStyle name="Хороший 2" xfId="1604" xr:uid="{1AED5CF9-C6AA-4990-9ABA-1BA50EB689D6}"/>
    <cellStyle name="Хороший 2 2" xfId="1605" xr:uid="{64D938C2-C255-4605-B88C-014320900EAB}"/>
    <cellStyle name="Хороший 3 2" xfId="1606" xr:uid="{E1EFC943-D932-4194-8D13-10024381C55A}"/>
    <cellStyle name="Хороший 4 2" xfId="1607" xr:uid="{C07A9794-8D11-47DB-AE7F-26D1DB3EA535}"/>
    <cellStyle name="Хороший 5 2" xfId="1608" xr:uid="{CBE3CEEA-C629-4033-B4D8-082A39FD5EAB}"/>
    <cellStyle name="Хороший 6 2" xfId="1609" xr:uid="{949843E8-C391-494E-AB21-E59C68B8663E}"/>
    <cellStyle name="Хороший 7 2" xfId="1610" xr:uid="{29A3FF5C-8745-4DB1-A574-6D89E96A966E}"/>
    <cellStyle name="Хороший 8 2" xfId="1611" xr:uid="{FA0C71A0-8541-49E1-BD23-5104C0D524AB}"/>
    <cellStyle name="Хороший 9 2" xfId="1612" xr:uid="{C5D9C941-5B44-4F72-B17B-42EFC0CB73F4}"/>
    <cellStyle name="Ценник" xfId="1613" xr:uid="{514CAC12-BAE1-445A-BF2C-0B2C64350998}"/>
    <cellStyle name="Ценник 2" xfId="1614" xr:uid="{8FBBFE45-758D-4269-BFEF-733BAF282A87}"/>
    <cellStyle name="Ценник 2 2" xfId="1637" xr:uid="{E9FEB46B-9A75-4372-AFFF-B838B7A609C7}"/>
    <cellStyle name="Ценник 3" xfId="1636" xr:uid="{7B4D9EE2-0EE7-4B3A-9443-1F17B7006345}"/>
    <cellStyle name="Экспертиза" xfId="1615" xr:uid="{98BBE4C6-F1A2-4A6B-8782-F9762DC47B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E97F4-BE8B-401E-912B-5D4ED193E06E}">
  <dimension ref="A1:H45"/>
  <sheetViews>
    <sheetView tabSelected="1" view="pageBreakPreview" topLeftCell="A25" workbookViewId="0">
      <selection activeCell="F38" sqref="F38"/>
    </sheetView>
  </sheetViews>
  <sheetFormatPr defaultRowHeight="15" outlineLevelRow="1" x14ac:dyDescent="0.25"/>
  <cols>
    <col min="1" max="1" width="6.28515625" style="1" customWidth="1"/>
    <col min="2" max="2" width="59" style="1" customWidth="1"/>
    <col min="3" max="3" width="9.140625" style="1"/>
    <col min="4" max="4" width="14.5703125" style="1" bestFit="1" customWidth="1"/>
    <col min="5" max="5" width="17.28515625" style="1" customWidth="1"/>
    <col min="6" max="6" width="18.140625" style="1" customWidth="1"/>
    <col min="7" max="7" width="39.5703125" style="1" customWidth="1"/>
    <col min="8" max="16384" width="9.140625" style="1"/>
  </cols>
  <sheetData>
    <row r="1" spans="1:7" ht="49.5" customHeight="1" x14ac:dyDescent="0.25">
      <c r="A1" s="63" t="s">
        <v>0</v>
      </c>
      <c r="B1" s="63"/>
      <c r="C1" s="63"/>
      <c r="D1" s="63"/>
      <c r="E1" s="63"/>
      <c r="F1" s="63"/>
      <c r="G1" s="63"/>
    </row>
    <row r="2" spans="1:7" x14ac:dyDescent="0.25">
      <c r="A2" s="64" t="s">
        <v>1</v>
      </c>
      <c r="B2" s="64"/>
      <c r="C2" s="64"/>
      <c r="D2" s="64"/>
      <c r="E2" s="64"/>
      <c r="F2" s="64"/>
      <c r="G2" s="64"/>
    </row>
    <row r="3" spans="1:7" x14ac:dyDescent="0.25">
      <c r="A3" s="64" t="s">
        <v>24</v>
      </c>
      <c r="B3" s="64"/>
      <c r="C3" s="64"/>
      <c r="D3" s="64"/>
      <c r="E3" s="64"/>
      <c r="F3" s="64"/>
      <c r="G3" s="64"/>
    </row>
    <row r="4" spans="1:7" ht="18.75" customHeight="1" x14ac:dyDescent="0.25">
      <c r="A4" s="65" t="s">
        <v>282</v>
      </c>
      <c r="B4" s="66"/>
      <c r="C4" s="66"/>
      <c r="D4" s="66"/>
      <c r="E4" s="66"/>
      <c r="F4" s="66"/>
      <c r="G4" s="66"/>
    </row>
    <row r="5" spans="1:7" x14ac:dyDescent="0.25">
      <c r="A5" s="42"/>
      <c r="B5" s="42"/>
      <c r="C5" s="42"/>
      <c r="D5" s="42"/>
      <c r="E5" s="42"/>
      <c r="F5" s="42"/>
      <c r="G5" s="42"/>
    </row>
    <row r="6" spans="1:7" ht="30.75" customHeight="1" x14ac:dyDescent="0.25">
      <c r="A6" s="2" t="s">
        <v>2</v>
      </c>
      <c r="B6" s="3" t="s">
        <v>3</v>
      </c>
      <c r="C6" s="2" t="s">
        <v>4</v>
      </c>
      <c r="D6" s="3" t="s">
        <v>5</v>
      </c>
      <c r="E6" s="4" t="s">
        <v>6</v>
      </c>
      <c r="F6" s="4" t="s">
        <v>7</v>
      </c>
      <c r="G6" s="3" t="s">
        <v>8</v>
      </c>
    </row>
    <row r="7" spans="1:7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</row>
    <row r="8" spans="1:7" ht="30" x14ac:dyDescent="0.25">
      <c r="A8" s="45"/>
      <c r="B8" s="57" t="s">
        <v>272</v>
      </c>
      <c r="C8" s="46"/>
      <c r="D8" s="46"/>
      <c r="E8" s="49"/>
      <c r="F8" s="49"/>
      <c r="G8" s="58" t="s">
        <v>285</v>
      </c>
    </row>
    <row r="9" spans="1:7" s="13" customFormat="1" ht="110.25" outlineLevel="1" x14ac:dyDescent="0.25">
      <c r="A9" s="10" t="s">
        <v>19</v>
      </c>
      <c r="B9" s="48" t="s">
        <v>273</v>
      </c>
      <c r="C9" s="11" t="s">
        <v>266</v>
      </c>
      <c r="D9" s="15">
        <v>238.87</v>
      </c>
      <c r="E9" s="50"/>
      <c r="F9" s="50">
        <f>E9*D9</f>
        <v>0</v>
      </c>
      <c r="G9" s="51" t="s">
        <v>283</v>
      </c>
    </row>
    <row r="10" spans="1:7" s="13" customFormat="1" ht="110.25" outlineLevel="1" x14ac:dyDescent="0.25">
      <c r="A10" s="10" t="s">
        <v>10</v>
      </c>
      <c r="B10" s="48" t="s">
        <v>274</v>
      </c>
      <c r="C10" s="54" t="s">
        <v>266</v>
      </c>
      <c r="D10" s="15">
        <v>282.11</v>
      </c>
      <c r="E10" s="50"/>
      <c r="F10" s="50">
        <f>E10*D10</f>
        <v>0</v>
      </c>
      <c r="G10" s="51" t="s">
        <v>283</v>
      </c>
    </row>
    <row r="11" spans="1:7" s="13" customFormat="1" ht="94.5" outlineLevel="1" x14ac:dyDescent="0.25">
      <c r="A11" s="10" t="s">
        <v>20</v>
      </c>
      <c r="B11" s="56" t="s">
        <v>275</v>
      </c>
      <c r="C11" s="43" t="s">
        <v>266</v>
      </c>
      <c r="D11" s="44">
        <v>85.72</v>
      </c>
      <c r="E11" s="52"/>
      <c r="F11" s="50">
        <f t="shared" ref="F11:F36" si="0">E11*D11</f>
        <v>0</v>
      </c>
      <c r="G11" s="53" t="s">
        <v>284</v>
      </c>
    </row>
    <row r="12" spans="1:7" s="13" customFormat="1" ht="110.25" outlineLevel="1" x14ac:dyDescent="0.25">
      <c r="A12" s="10" t="s">
        <v>11</v>
      </c>
      <c r="B12" s="48" t="s">
        <v>276</v>
      </c>
      <c r="C12" s="11" t="s">
        <v>266</v>
      </c>
      <c r="D12" s="15">
        <v>137.09</v>
      </c>
      <c r="E12" s="50"/>
      <c r="F12" s="50">
        <f>E12*D12</f>
        <v>0</v>
      </c>
      <c r="G12" s="51" t="s">
        <v>283</v>
      </c>
    </row>
    <row r="13" spans="1:7" s="13" customFormat="1" ht="94.5" outlineLevel="1" x14ac:dyDescent="0.25">
      <c r="A13" s="10" t="s">
        <v>21</v>
      </c>
      <c r="B13" s="48" t="s">
        <v>277</v>
      </c>
      <c r="C13" s="11" t="s">
        <v>266</v>
      </c>
      <c r="D13" s="15">
        <v>173.54</v>
      </c>
      <c r="E13" s="50"/>
      <c r="F13" s="50">
        <f>E13*D13</f>
        <v>0</v>
      </c>
      <c r="G13" s="51" t="s">
        <v>283</v>
      </c>
    </row>
    <row r="14" spans="1:7" ht="30" x14ac:dyDescent="0.25">
      <c r="A14" s="45"/>
      <c r="B14" s="57" t="s">
        <v>278</v>
      </c>
      <c r="C14" s="46"/>
      <c r="D14" s="46"/>
      <c r="E14" s="49"/>
      <c r="F14" s="49"/>
      <c r="G14" s="58" t="s">
        <v>285</v>
      </c>
    </row>
    <row r="15" spans="1:7" s="13" customFormat="1" ht="110.25" outlineLevel="1" x14ac:dyDescent="0.25">
      <c r="A15" s="10" t="s">
        <v>19</v>
      </c>
      <c r="B15" s="48" t="s">
        <v>273</v>
      </c>
      <c r="C15" s="11" t="s">
        <v>266</v>
      </c>
      <c r="D15" s="15">
        <v>516.19000000000005</v>
      </c>
      <c r="E15" s="50"/>
      <c r="F15" s="50">
        <f>E15*D15</f>
        <v>0</v>
      </c>
      <c r="G15" s="51" t="s">
        <v>286</v>
      </c>
    </row>
    <row r="16" spans="1:7" s="13" customFormat="1" ht="110.25" outlineLevel="1" x14ac:dyDescent="0.25">
      <c r="A16" s="10" t="s">
        <v>10</v>
      </c>
      <c r="B16" s="48" t="s">
        <v>279</v>
      </c>
      <c r="C16" s="54" t="s">
        <v>266</v>
      </c>
      <c r="D16" s="15">
        <v>241.6</v>
      </c>
      <c r="E16" s="50"/>
      <c r="F16" s="50">
        <f t="shared" ref="F16:F19" si="1">E16*D16</f>
        <v>0</v>
      </c>
      <c r="G16" s="51" t="s">
        <v>286</v>
      </c>
    </row>
    <row r="17" spans="1:7" s="13" customFormat="1" ht="94.5" outlineLevel="1" x14ac:dyDescent="0.25">
      <c r="A17" s="10" t="s">
        <v>20</v>
      </c>
      <c r="B17" s="56" t="s">
        <v>275</v>
      </c>
      <c r="C17" s="43" t="s">
        <v>266</v>
      </c>
      <c r="D17" s="44">
        <v>230.69</v>
      </c>
      <c r="E17" s="52"/>
      <c r="F17" s="50">
        <f t="shared" si="1"/>
        <v>0</v>
      </c>
      <c r="G17" s="53" t="s">
        <v>287</v>
      </c>
    </row>
    <row r="18" spans="1:7" s="13" customFormat="1" ht="110.25" outlineLevel="1" x14ac:dyDescent="0.25">
      <c r="A18" s="10" t="s">
        <v>11</v>
      </c>
      <c r="B18" s="48" t="s">
        <v>276</v>
      </c>
      <c r="C18" s="11" t="s">
        <v>266</v>
      </c>
      <c r="D18" s="15">
        <v>192.13</v>
      </c>
      <c r="E18" s="50"/>
      <c r="F18" s="50">
        <f t="shared" si="1"/>
        <v>0</v>
      </c>
      <c r="G18" s="51" t="s">
        <v>286</v>
      </c>
    </row>
    <row r="19" spans="1:7" s="13" customFormat="1" ht="94.5" outlineLevel="1" x14ac:dyDescent="0.25">
      <c r="A19" s="10" t="s">
        <v>21</v>
      </c>
      <c r="B19" s="48" t="s">
        <v>277</v>
      </c>
      <c r="C19" s="11" t="s">
        <v>266</v>
      </c>
      <c r="D19" s="15">
        <v>96.84</v>
      </c>
      <c r="E19" s="50"/>
      <c r="F19" s="50">
        <f t="shared" si="1"/>
        <v>0</v>
      </c>
      <c r="G19" s="51" t="s">
        <v>286</v>
      </c>
    </row>
    <row r="20" spans="1:7" ht="30" x14ac:dyDescent="0.25">
      <c r="A20" s="45"/>
      <c r="B20" s="57" t="s">
        <v>280</v>
      </c>
      <c r="C20" s="46"/>
      <c r="D20" s="46"/>
      <c r="E20" s="49"/>
      <c r="F20" s="49"/>
      <c r="G20" s="58" t="s">
        <v>285</v>
      </c>
    </row>
    <row r="21" spans="1:7" s="13" customFormat="1" ht="110.25" outlineLevel="1" x14ac:dyDescent="0.25">
      <c r="A21" s="10" t="s">
        <v>19</v>
      </c>
      <c r="B21" s="48" t="s">
        <v>273</v>
      </c>
      <c r="C21" s="11" t="s">
        <v>266</v>
      </c>
      <c r="D21" s="15">
        <v>431.85</v>
      </c>
      <c r="E21" s="50"/>
      <c r="F21" s="50">
        <f>E21*D21</f>
        <v>0</v>
      </c>
      <c r="G21" s="51" t="s">
        <v>288</v>
      </c>
    </row>
    <row r="22" spans="1:7" s="13" customFormat="1" ht="110.25" outlineLevel="1" x14ac:dyDescent="0.25">
      <c r="A22" s="10" t="s">
        <v>10</v>
      </c>
      <c r="B22" s="48" t="s">
        <v>279</v>
      </c>
      <c r="C22" s="54" t="s">
        <v>266</v>
      </c>
      <c r="D22" s="15">
        <v>249.82</v>
      </c>
      <c r="E22" s="50"/>
      <c r="F22" s="50">
        <f t="shared" ref="F22:F25" si="2">E22*D22</f>
        <v>0</v>
      </c>
      <c r="G22" s="51" t="s">
        <v>288</v>
      </c>
    </row>
    <row r="23" spans="1:7" s="13" customFormat="1" ht="94.5" outlineLevel="1" x14ac:dyDescent="0.25">
      <c r="A23" s="10" t="s">
        <v>20</v>
      </c>
      <c r="B23" s="56" t="s">
        <v>275</v>
      </c>
      <c r="C23" s="43" t="s">
        <v>266</v>
      </c>
      <c r="D23" s="44">
        <v>187.68</v>
      </c>
      <c r="E23" s="52"/>
      <c r="F23" s="50">
        <f t="shared" si="2"/>
        <v>0</v>
      </c>
      <c r="G23" s="53" t="s">
        <v>289</v>
      </c>
    </row>
    <row r="24" spans="1:7" s="13" customFormat="1" ht="110.25" outlineLevel="1" x14ac:dyDescent="0.25">
      <c r="A24" s="10" t="s">
        <v>11</v>
      </c>
      <c r="B24" s="48" t="s">
        <v>276</v>
      </c>
      <c r="C24" s="11" t="s">
        <v>266</v>
      </c>
      <c r="D24" s="15">
        <v>83.04</v>
      </c>
      <c r="E24" s="50"/>
      <c r="F24" s="50">
        <f t="shared" si="2"/>
        <v>0</v>
      </c>
      <c r="G24" s="51" t="s">
        <v>288</v>
      </c>
    </row>
    <row r="25" spans="1:7" s="13" customFormat="1" ht="94.5" outlineLevel="1" x14ac:dyDescent="0.25">
      <c r="A25" s="10" t="s">
        <v>21</v>
      </c>
      <c r="B25" s="48" t="s">
        <v>277</v>
      </c>
      <c r="C25" s="11" t="s">
        <v>266</v>
      </c>
      <c r="D25" s="15">
        <v>89.88</v>
      </c>
      <c r="E25" s="50"/>
      <c r="F25" s="50">
        <f t="shared" si="2"/>
        <v>0</v>
      </c>
      <c r="G25" s="51" t="s">
        <v>288</v>
      </c>
    </row>
    <row r="26" spans="1:7" ht="30" x14ac:dyDescent="0.25">
      <c r="A26" s="45"/>
      <c r="B26" s="57" t="s">
        <v>281</v>
      </c>
      <c r="C26" s="46"/>
      <c r="D26" s="46"/>
      <c r="E26" s="49"/>
      <c r="F26" s="49"/>
      <c r="G26" s="58" t="s">
        <v>285</v>
      </c>
    </row>
    <row r="27" spans="1:7" s="13" customFormat="1" ht="110.25" outlineLevel="1" x14ac:dyDescent="0.25">
      <c r="A27" s="10" t="s">
        <v>19</v>
      </c>
      <c r="B27" s="48" t="s">
        <v>273</v>
      </c>
      <c r="C27" s="11" t="s">
        <v>266</v>
      </c>
      <c r="D27" s="15">
        <v>250.83</v>
      </c>
      <c r="E27" s="50"/>
      <c r="F27" s="50">
        <f>E27*D27</f>
        <v>0</v>
      </c>
      <c r="G27" s="51" t="s">
        <v>290</v>
      </c>
    </row>
    <row r="28" spans="1:7" s="13" customFormat="1" ht="110.25" outlineLevel="1" x14ac:dyDescent="0.25">
      <c r="A28" s="10" t="s">
        <v>10</v>
      </c>
      <c r="B28" s="48" t="s">
        <v>279</v>
      </c>
      <c r="C28" s="54" t="s">
        <v>266</v>
      </c>
      <c r="D28" s="15">
        <v>204.82</v>
      </c>
      <c r="E28" s="50"/>
      <c r="F28" s="50">
        <f t="shared" ref="F28:F31" si="3">E28*D28</f>
        <v>0</v>
      </c>
      <c r="G28" s="51" t="s">
        <v>290</v>
      </c>
    </row>
    <row r="29" spans="1:7" s="13" customFormat="1" ht="94.5" outlineLevel="1" x14ac:dyDescent="0.25">
      <c r="A29" s="10" t="s">
        <v>20</v>
      </c>
      <c r="B29" s="56" t="s">
        <v>275</v>
      </c>
      <c r="C29" s="43" t="s">
        <v>266</v>
      </c>
      <c r="D29" s="44">
        <v>287.98</v>
      </c>
      <c r="E29" s="52"/>
      <c r="F29" s="50">
        <f t="shared" si="3"/>
        <v>0</v>
      </c>
      <c r="G29" s="53" t="s">
        <v>291</v>
      </c>
    </row>
    <row r="30" spans="1:7" s="13" customFormat="1" ht="110.25" outlineLevel="1" x14ac:dyDescent="0.25">
      <c r="A30" s="10" t="s">
        <v>11</v>
      </c>
      <c r="B30" s="48" t="s">
        <v>276</v>
      </c>
      <c r="C30" s="11" t="s">
        <v>266</v>
      </c>
      <c r="D30" s="15">
        <v>132.21</v>
      </c>
      <c r="E30" s="50"/>
      <c r="F30" s="50">
        <f t="shared" si="3"/>
        <v>0</v>
      </c>
      <c r="G30" s="51" t="s">
        <v>290</v>
      </c>
    </row>
    <row r="31" spans="1:7" s="13" customFormat="1" ht="94.5" outlineLevel="1" x14ac:dyDescent="0.25">
      <c r="A31" s="10" t="s">
        <v>21</v>
      </c>
      <c r="B31" s="48" t="s">
        <v>277</v>
      </c>
      <c r="C31" s="11" t="s">
        <v>266</v>
      </c>
      <c r="D31" s="15">
        <v>80.95</v>
      </c>
      <c r="E31" s="50"/>
      <c r="F31" s="50">
        <f t="shared" si="3"/>
        <v>0</v>
      </c>
      <c r="G31" s="51" t="s">
        <v>290</v>
      </c>
    </row>
    <row r="32" spans="1:7" hidden="1" x14ac:dyDescent="0.25">
      <c r="A32" s="45"/>
      <c r="B32" s="46" t="s">
        <v>267</v>
      </c>
      <c r="C32" s="46"/>
      <c r="D32" s="46"/>
      <c r="E32" s="49"/>
      <c r="F32" s="50">
        <f t="shared" si="0"/>
        <v>0</v>
      </c>
      <c r="G32" s="49"/>
    </row>
    <row r="33" spans="1:8" s="13" customFormat="1" ht="47.25" hidden="1" outlineLevel="1" x14ac:dyDescent="0.25">
      <c r="A33" s="10" t="s">
        <v>19</v>
      </c>
      <c r="B33" s="48" t="s">
        <v>268</v>
      </c>
      <c r="C33" s="11" t="s">
        <v>89</v>
      </c>
      <c r="D33" s="15">
        <v>0.85420000000000029</v>
      </c>
      <c r="E33" s="50"/>
      <c r="F33" s="50">
        <f t="shared" si="0"/>
        <v>0</v>
      </c>
      <c r="G33" s="51"/>
    </row>
    <row r="34" spans="1:8" s="13" customFormat="1" ht="31.5" hidden="1" outlineLevel="1" x14ac:dyDescent="0.25">
      <c r="A34" s="10" t="s">
        <v>10</v>
      </c>
      <c r="B34" s="48" t="s">
        <v>269</v>
      </c>
      <c r="C34" s="11" t="s">
        <v>37</v>
      </c>
      <c r="D34" s="15">
        <v>2</v>
      </c>
      <c r="E34" s="50"/>
      <c r="F34" s="50">
        <f t="shared" si="0"/>
        <v>0</v>
      </c>
      <c r="G34" s="51"/>
    </row>
    <row r="35" spans="1:8" s="13" customFormat="1" ht="31.5" hidden="1" outlineLevel="1" x14ac:dyDescent="0.25">
      <c r="A35" s="10" t="s">
        <v>20</v>
      </c>
      <c r="B35" s="48" t="s">
        <v>270</v>
      </c>
      <c r="C35" s="43" t="s">
        <v>37</v>
      </c>
      <c r="D35" s="44">
        <v>1</v>
      </c>
      <c r="E35" s="52"/>
      <c r="F35" s="50">
        <f t="shared" si="0"/>
        <v>0</v>
      </c>
      <c r="G35" s="53"/>
    </row>
    <row r="36" spans="1:8" s="13" customFormat="1" ht="31.5" hidden="1" outlineLevel="1" x14ac:dyDescent="0.25">
      <c r="A36" s="55" t="s">
        <v>11</v>
      </c>
      <c r="B36" s="48" t="s">
        <v>271</v>
      </c>
      <c r="C36" s="11" t="s">
        <v>37</v>
      </c>
      <c r="D36" s="15">
        <v>2</v>
      </c>
      <c r="E36" s="50"/>
      <c r="F36" s="50">
        <f t="shared" si="0"/>
        <v>0</v>
      </c>
      <c r="G36" s="51"/>
    </row>
    <row r="37" spans="1:8" collapsed="1" x14ac:dyDescent="0.25">
      <c r="A37" s="67" t="s">
        <v>13</v>
      </c>
      <c r="B37" s="67"/>
      <c r="C37" s="67"/>
      <c r="D37" s="67"/>
      <c r="E37" s="67"/>
      <c r="F37" s="47">
        <f>SUM(F8:F36)</f>
        <v>0</v>
      </c>
      <c r="G37" s="41"/>
    </row>
    <row r="38" spans="1:8" x14ac:dyDescent="0.25">
      <c r="A38" s="59" t="s">
        <v>14</v>
      </c>
      <c r="B38" s="59"/>
      <c r="C38" s="59"/>
      <c r="D38" s="59"/>
      <c r="E38" s="59"/>
      <c r="F38" s="5">
        <f>F37*0.2</f>
        <v>0</v>
      </c>
      <c r="G38" s="60" t="s">
        <v>265</v>
      </c>
    </row>
    <row r="39" spans="1:8" x14ac:dyDescent="0.25">
      <c r="A39" s="59" t="s">
        <v>15</v>
      </c>
      <c r="B39" s="59"/>
      <c r="C39" s="59"/>
      <c r="D39" s="59"/>
      <c r="E39" s="59" t="s">
        <v>16</v>
      </c>
      <c r="F39" s="5">
        <f>F38+F37</f>
        <v>0</v>
      </c>
      <c r="G39" s="61"/>
    </row>
    <row r="41" spans="1:8" x14ac:dyDescent="0.25">
      <c r="B41" s="1" t="s">
        <v>292</v>
      </c>
    </row>
    <row r="43" spans="1:8" ht="105" customHeight="1" x14ac:dyDescent="0.25">
      <c r="B43" s="6" t="s">
        <v>17</v>
      </c>
      <c r="F43" s="62" t="s">
        <v>18</v>
      </c>
      <c r="G43" s="62"/>
      <c r="H43" s="7"/>
    </row>
    <row r="45" spans="1:8" ht="102.75" customHeight="1" x14ac:dyDescent="0.25">
      <c r="B45" s="8"/>
      <c r="F45" s="9"/>
    </row>
  </sheetData>
  <mergeCells count="9">
    <mergeCell ref="A38:E38"/>
    <mergeCell ref="G38:G39"/>
    <mergeCell ref="A39:E39"/>
    <mergeCell ref="F43:G43"/>
    <mergeCell ref="A1:G1"/>
    <mergeCell ref="A2:G2"/>
    <mergeCell ref="A3:G3"/>
    <mergeCell ref="A4:G4"/>
    <mergeCell ref="A37:E37"/>
  </mergeCells>
  <phoneticPr fontId="57" type="noConversion"/>
  <pageMargins left="0.39370078740157477" right="0.39370078740157477" top="0.78740157480314954" bottom="0.39370078740157477" header="0.31496062992125984" footer="0.31496062992125984"/>
  <pageSetup paperSize="9" scale="4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812D9-173F-4B6E-9BEB-B0AA77EFE5A1}">
  <dimension ref="A1:H161"/>
  <sheetViews>
    <sheetView view="pageBreakPreview" workbookViewId="0">
      <selection activeCell="A154" sqref="A154:E154"/>
    </sheetView>
  </sheetViews>
  <sheetFormatPr defaultRowHeight="15" outlineLevelRow="1" x14ac:dyDescent="0.25"/>
  <cols>
    <col min="1" max="1" width="8" style="1" customWidth="1"/>
    <col min="2" max="2" width="46.85546875" style="1" customWidth="1"/>
    <col min="3" max="3" width="9.140625" style="1"/>
    <col min="4" max="4" width="14.5703125" style="1" bestFit="1" customWidth="1"/>
    <col min="5" max="5" width="17.28515625" style="1" customWidth="1"/>
    <col min="6" max="6" width="18.140625" style="1" customWidth="1"/>
    <col min="7" max="7" width="39.5703125" style="1" customWidth="1"/>
    <col min="8" max="8" width="28.42578125" style="35" customWidth="1"/>
    <col min="9" max="16384" width="9.140625" style="1"/>
  </cols>
  <sheetData>
    <row r="1" spans="1:8" ht="49.5" customHeight="1" x14ac:dyDescent="0.25">
      <c r="A1" s="63" t="s">
        <v>0</v>
      </c>
      <c r="B1" s="63"/>
      <c r="C1" s="63"/>
      <c r="D1" s="63"/>
      <c r="E1" s="63"/>
      <c r="F1" s="63"/>
      <c r="G1" s="63"/>
    </row>
    <row r="2" spans="1:8" x14ac:dyDescent="0.25">
      <c r="A2" s="64" t="s">
        <v>1</v>
      </c>
      <c r="B2" s="64"/>
      <c r="C2" s="64"/>
      <c r="D2" s="64"/>
      <c r="E2" s="64"/>
      <c r="F2" s="64"/>
      <c r="G2" s="64"/>
    </row>
    <row r="3" spans="1:8" x14ac:dyDescent="0.25">
      <c r="A3" s="64" t="s">
        <v>24</v>
      </c>
      <c r="B3" s="64"/>
      <c r="C3" s="64"/>
      <c r="D3" s="64"/>
      <c r="E3" s="64"/>
      <c r="F3" s="64"/>
      <c r="G3" s="64"/>
    </row>
    <row r="4" spans="1:8" ht="18.75" customHeight="1" x14ac:dyDescent="0.25">
      <c r="A4" s="70" t="s">
        <v>30</v>
      </c>
      <c r="B4" s="66"/>
      <c r="C4" s="66"/>
      <c r="D4" s="66"/>
      <c r="E4" s="66"/>
      <c r="F4" s="66"/>
      <c r="G4" s="66"/>
    </row>
    <row r="5" spans="1:8" x14ac:dyDescent="0.25">
      <c r="A5" s="14"/>
      <c r="B5" s="14"/>
      <c r="C5" s="14"/>
      <c r="D5" s="14"/>
      <c r="E5" s="14"/>
      <c r="F5" s="14"/>
      <c r="G5" s="14"/>
    </row>
    <row r="6" spans="1:8" ht="30.75" customHeight="1" x14ac:dyDescent="0.25">
      <c r="A6" s="19" t="s">
        <v>2</v>
      </c>
      <c r="B6" s="4" t="s">
        <v>3</v>
      </c>
      <c r="C6" s="19" t="s">
        <v>4</v>
      </c>
      <c r="D6" s="4" t="s">
        <v>5</v>
      </c>
      <c r="E6" s="4" t="s">
        <v>6</v>
      </c>
      <c r="F6" s="4" t="s">
        <v>7</v>
      </c>
      <c r="G6" s="29" t="s">
        <v>8</v>
      </c>
    </row>
    <row r="7" spans="1:8" ht="19.5" customHeight="1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30">
        <v>7</v>
      </c>
    </row>
    <row r="8" spans="1:8" s="13" customFormat="1" outlineLevel="1" x14ac:dyDescent="0.25">
      <c r="A8" s="68" t="s">
        <v>39</v>
      </c>
      <c r="B8" s="69"/>
      <c r="C8" s="69"/>
      <c r="D8" s="69"/>
      <c r="E8" s="69"/>
      <c r="F8" s="69"/>
      <c r="G8" s="69"/>
      <c r="H8" s="36"/>
    </row>
    <row r="9" spans="1:8" s="13" customFormat="1" ht="38.25" outlineLevel="1" x14ac:dyDescent="0.25">
      <c r="A9" s="27" t="s">
        <v>10</v>
      </c>
      <c r="B9" s="16" t="s">
        <v>31</v>
      </c>
      <c r="C9" s="20" t="s">
        <v>35</v>
      </c>
      <c r="D9" s="21">
        <f>SUM(D10:D14)</f>
        <v>864.125</v>
      </c>
      <c r="E9" s="28"/>
      <c r="F9" s="28">
        <f t="shared" ref="F9:F59" si="0">E9*D9</f>
        <v>0</v>
      </c>
      <c r="G9" s="32"/>
      <c r="H9" s="37"/>
    </row>
    <row r="10" spans="1:8" s="13" customFormat="1" ht="25.5" outlineLevel="1" x14ac:dyDescent="0.25">
      <c r="A10" s="10" t="s">
        <v>20</v>
      </c>
      <c r="B10" s="17" t="s">
        <v>40</v>
      </c>
      <c r="C10" s="22" t="s">
        <v>41</v>
      </c>
      <c r="D10" s="23">
        <f>(4.25+8.25)/2*2*21.04</f>
        <v>263</v>
      </c>
      <c r="E10" s="12"/>
      <c r="F10" s="12"/>
      <c r="G10" s="31"/>
      <c r="H10" s="38"/>
    </row>
    <row r="11" spans="1:8" s="13" customFormat="1" ht="38.25" outlineLevel="1" x14ac:dyDescent="0.25">
      <c r="A11" s="10" t="s">
        <v>11</v>
      </c>
      <c r="B11" s="17" t="s">
        <v>42</v>
      </c>
      <c r="C11" s="22" t="s">
        <v>41</v>
      </c>
      <c r="D11" s="23">
        <f>(4.25+8.25)/2*2*0.47</f>
        <v>5.875</v>
      </c>
      <c r="E11" s="12"/>
      <c r="F11" s="12"/>
      <c r="G11" s="31"/>
      <c r="H11" s="38"/>
    </row>
    <row r="12" spans="1:8" s="13" customFormat="1" ht="25.5" outlineLevel="1" x14ac:dyDescent="0.25">
      <c r="A12" s="10" t="s">
        <v>21</v>
      </c>
      <c r="B12" s="17" t="s">
        <v>43</v>
      </c>
      <c r="C12" s="22" t="s">
        <v>41</v>
      </c>
      <c r="D12" s="23">
        <f>(4.25+8.25)/2*2*34.2</f>
        <v>427.50000000000006</v>
      </c>
      <c r="E12" s="12"/>
      <c r="F12" s="12"/>
      <c r="G12" s="31"/>
      <c r="H12" s="38"/>
    </row>
    <row r="13" spans="1:8" s="13" customFormat="1" ht="38.25" outlineLevel="1" x14ac:dyDescent="0.25">
      <c r="A13" s="10" t="s">
        <v>12</v>
      </c>
      <c r="B13" s="17" t="s">
        <v>44</v>
      </c>
      <c r="C13" s="22" t="s">
        <v>41</v>
      </c>
      <c r="D13" s="23">
        <f>(4.25+8.25)/2*2*3.56</f>
        <v>44.5</v>
      </c>
      <c r="E13" s="12"/>
      <c r="F13" s="12"/>
      <c r="G13" s="31"/>
      <c r="H13" s="38"/>
    </row>
    <row r="14" spans="1:8" s="13" customFormat="1" ht="25.5" outlineLevel="1" x14ac:dyDescent="0.25">
      <c r="A14" s="10" t="s">
        <v>22</v>
      </c>
      <c r="B14" s="17" t="s">
        <v>45</v>
      </c>
      <c r="C14" s="22" t="s">
        <v>41</v>
      </c>
      <c r="D14" s="23">
        <f>(4.25+8.25)/2*2*9.86</f>
        <v>123.25</v>
      </c>
      <c r="E14" s="12"/>
      <c r="F14" s="12"/>
      <c r="G14" s="31"/>
      <c r="H14" s="38"/>
    </row>
    <row r="15" spans="1:8" s="13" customFormat="1" ht="25.5" outlineLevel="1" x14ac:dyDescent="0.25">
      <c r="A15" s="27" t="s">
        <v>9</v>
      </c>
      <c r="B15" s="16" t="s">
        <v>32</v>
      </c>
      <c r="C15" s="20" t="s">
        <v>36</v>
      </c>
      <c r="D15" s="21">
        <f>SUM(D16:D20)</f>
        <v>273.5675</v>
      </c>
      <c r="E15" s="28"/>
      <c r="F15" s="28">
        <f t="shared" si="0"/>
        <v>0</v>
      </c>
      <c r="G15" s="32"/>
      <c r="H15" s="37"/>
    </row>
    <row r="16" spans="1:8" s="13" customFormat="1" ht="15.75" outlineLevel="1" x14ac:dyDescent="0.25">
      <c r="A16" s="10" t="s">
        <v>23</v>
      </c>
      <c r="B16" s="17" t="s">
        <v>46</v>
      </c>
      <c r="C16" s="22" t="s">
        <v>47</v>
      </c>
      <c r="D16" s="23">
        <f>4.05*21.04</f>
        <v>85.211999999999989</v>
      </c>
      <c r="E16" s="12"/>
      <c r="F16" s="12"/>
      <c r="G16" s="31"/>
      <c r="H16" s="38"/>
    </row>
    <row r="17" spans="1:8" s="13" customFormat="1" ht="15.75" outlineLevel="1" x14ac:dyDescent="0.25">
      <c r="A17" s="10" t="s">
        <v>25</v>
      </c>
      <c r="B17" s="17" t="s">
        <v>48</v>
      </c>
      <c r="C17" s="22" t="s">
        <v>47</v>
      </c>
      <c r="D17" s="23">
        <f>4.05*0.47</f>
        <v>1.9034999999999997</v>
      </c>
      <c r="E17" s="12"/>
      <c r="F17" s="12"/>
      <c r="G17" s="31"/>
      <c r="H17" s="38"/>
    </row>
    <row r="18" spans="1:8" s="13" customFormat="1" ht="15.75" outlineLevel="1" x14ac:dyDescent="0.25">
      <c r="A18" s="10" t="s">
        <v>26</v>
      </c>
      <c r="B18" s="17" t="s">
        <v>49</v>
      </c>
      <c r="C18" s="22" t="s">
        <v>47</v>
      </c>
      <c r="D18" s="23">
        <f>4.05*34.2</f>
        <v>138.51000000000002</v>
      </c>
      <c r="E18" s="12"/>
      <c r="F18" s="12"/>
      <c r="G18" s="31"/>
      <c r="H18" s="38"/>
    </row>
    <row r="19" spans="1:8" s="13" customFormat="1" ht="15.75" outlineLevel="1" x14ac:dyDescent="0.25">
      <c r="A19" s="10" t="s">
        <v>27</v>
      </c>
      <c r="B19" s="17" t="s">
        <v>50</v>
      </c>
      <c r="C19" s="22" t="s">
        <v>47</v>
      </c>
      <c r="D19" s="23">
        <f>4.05*3.56</f>
        <v>14.417999999999999</v>
      </c>
      <c r="E19" s="12"/>
      <c r="F19" s="12"/>
      <c r="G19" s="31"/>
      <c r="H19" s="38"/>
    </row>
    <row r="20" spans="1:8" s="13" customFormat="1" ht="15.75" outlineLevel="1" x14ac:dyDescent="0.25">
      <c r="A20" s="10" t="s">
        <v>28</v>
      </c>
      <c r="B20" s="17" t="s">
        <v>51</v>
      </c>
      <c r="C20" s="22" t="s">
        <v>47</v>
      </c>
      <c r="D20" s="23">
        <f>3.4*9.86</f>
        <v>33.523999999999994</v>
      </c>
      <c r="E20" s="12"/>
      <c r="F20" s="12"/>
      <c r="G20" s="31"/>
      <c r="H20" s="38"/>
    </row>
    <row r="21" spans="1:8" s="13" customFormat="1" ht="25.5" outlineLevel="1" x14ac:dyDescent="0.25">
      <c r="A21" s="27" t="s">
        <v>29</v>
      </c>
      <c r="B21" s="16" t="s">
        <v>52</v>
      </c>
      <c r="C21" s="20" t="s">
        <v>35</v>
      </c>
      <c r="D21" s="21">
        <f>D25+D28+D31+D34+D22</f>
        <v>27.356750000000005</v>
      </c>
      <c r="E21" s="28"/>
      <c r="F21" s="28">
        <f t="shared" si="0"/>
        <v>0</v>
      </c>
      <c r="G21" s="32"/>
      <c r="H21" s="37"/>
    </row>
    <row r="22" spans="1:8" s="13" customFormat="1" ht="25.5" outlineLevel="1" x14ac:dyDescent="0.25">
      <c r="A22" s="10" t="s">
        <v>38</v>
      </c>
      <c r="B22" s="17" t="s">
        <v>53</v>
      </c>
      <c r="C22" s="22" t="s">
        <v>41</v>
      </c>
      <c r="D22" s="23">
        <f>D23</f>
        <v>8.5211999999999986</v>
      </c>
      <c r="E22" s="12"/>
      <c r="F22" s="12"/>
      <c r="G22" s="31"/>
      <c r="H22" s="38"/>
    </row>
    <row r="23" spans="1:8" s="13" customFormat="1" ht="15.75" outlineLevel="1" x14ac:dyDescent="0.25">
      <c r="A23" s="10" t="s">
        <v>134</v>
      </c>
      <c r="B23" s="18" t="s">
        <v>54</v>
      </c>
      <c r="C23" s="24" t="s">
        <v>35</v>
      </c>
      <c r="D23" s="25">
        <f>D16*0.1</f>
        <v>8.5211999999999986</v>
      </c>
      <c r="E23" s="12"/>
      <c r="F23" s="12"/>
      <c r="G23" s="31"/>
      <c r="H23" s="39" t="s">
        <v>55</v>
      </c>
    </row>
    <row r="24" spans="1:8" s="13" customFormat="1" ht="25.5" outlineLevel="1" x14ac:dyDescent="0.25">
      <c r="A24" s="10" t="s">
        <v>135</v>
      </c>
      <c r="B24" s="18" t="s">
        <v>56</v>
      </c>
      <c r="C24" s="24" t="s">
        <v>58</v>
      </c>
      <c r="D24" s="25">
        <f>D16*0.8</f>
        <v>68.169599999999988</v>
      </c>
      <c r="E24" s="12"/>
      <c r="F24" s="12"/>
      <c r="G24" s="31"/>
      <c r="H24" s="39" t="s">
        <v>57</v>
      </c>
    </row>
    <row r="25" spans="1:8" s="13" customFormat="1" ht="25.5" outlineLevel="1" x14ac:dyDescent="0.25">
      <c r="A25" s="10" t="s">
        <v>136</v>
      </c>
      <c r="B25" s="17" t="s">
        <v>59</v>
      </c>
      <c r="C25" s="22" t="s">
        <v>41</v>
      </c>
      <c r="D25" s="23">
        <f>D26</f>
        <v>0.19034999999999999</v>
      </c>
      <c r="E25" s="12"/>
      <c r="F25" s="12"/>
      <c r="G25" s="31"/>
      <c r="H25" s="38"/>
    </row>
    <row r="26" spans="1:8" s="13" customFormat="1" ht="15.75" outlineLevel="1" x14ac:dyDescent="0.25">
      <c r="A26" s="10" t="s">
        <v>137</v>
      </c>
      <c r="B26" s="18" t="s">
        <v>54</v>
      </c>
      <c r="C26" s="24" t="s">
        <v>35</v>
      </c>
      <c r="D26" s="25">
        <f>D17*0.1</f>
        <v>0.19034999999999999</v>
      </c>
      <c r="E26" s="12"/>
      <c r="F26" s="12"/>
      <c r="G26" s="31"/>
      <c r="H26" s="39" t="s">
        <v>55</v>
      </c>
    </row>
    <row r="27" spans="1:8" s="13" customFormat="1" ht="25.5" outlineLevel="1" x14ac:dyDescent="0.25">
      <c r="A27" s="10" t="s">
        <v>138</v>
      </c>
      <c r="B27" s="18" t="s">
        <v>56</v>
      </c>
      <c r="C27" s="24" t="s">
        <v>58</v>
      </c>
      <c r="D27" s="25">
        <f>D17*0.8</f>
        <v>1.5227999999999999</v>
      </c>
      <c r="E27" s="12"/>
      <c r="F27" s="12"/>
      <c r="G27" s="31"/>
      <c r="H27" s="39" t="s">
        <v>57</v>
      </c>
    </row>
    <row r="28" spans="1:8" s="13" customFormat="1" ht="25.5" outlineLevel="1" x14ac:dyDescent="0.25">
      <c r="A28" s="10" t="s">
        <v>139</v>
      </c>
      <c r="B28" s="17" t="s">
        <v>60</v>
      </c>
      <c r="C28" s="22" t="s">
        <v>41</v>
      </c>
      <c r="D28" s="23">
        <f>D29</f>
        <v>13.851000000000003</v>
      </c>
      <c r="E28" s="12"/>
      <c r="F28" s="12"/>
      <c r="G28" s="31"/>
      <c r="H28" s="38"/>
    </row>
    <row r="29" spans="1:8" s="13" customFormat="1" ht="15.75" outlineLevel="1" x14ac:dyDescent="0.25">
      <c r="A29" s="10" t="s">
        <v>140</v>
      </c>
      <c r="B29" s="18" t="s">
        <v>54</v>
      </c>
      <c r="C29" s="24" t="s">
        <v>35</v>
      </c>
      <c r="D29" s="25">
        <f>D18*0.1</f>
        <v>13.851000000000003</v>
      </c>
      <c r="E29" s="12"/>
      <c r="F29" s="12"/>
      <c r="G29" s="31"/>
      <c r="H29" s="39" t="s">
        <v>55</v>
      </c>
    </row>
    <row r="30" spans="1:8" s="13" customFormat="1" ht="25.5" outlineLevel="1" x14ac:dyDescent="0.25">
      <c r="A30" s="10" t="s">
        <v>141</v>
      </c>
      <c r="B30" s="18" t="s">
        <v>56</v>
      </c>
      <c r="C30" s="24" t="s">
        <v>58</v>
      </c>
      <c r="D30" s="25">
        <f>D18*0.8</f>
        <v>110.80800000000002</v>
      </c>
      <c r="E30" s="12"/>
      <c r="F30" s="12"/>
      <c r="G30" s="31"/>
      <c r="H30" s="39" t="s">
        <v>57</v>
      </c>
    </row>
    <row r="31" spans="1:8" s="13" customFormat="1" ht="25.5" outlineLevel="1" x14ac:dyDescent="0.25">
      <c r="A31" s="10" t="s">
        <v>142</v>
      </c>
      <c r="B31" s="17" t="s">
        <v>61</v>
      </c>
      <c r="C31" s="22" t="s">
        <v>41</v>
      </c>
      <c r="D31" s="23">
        <f>D32</f>
        <v>1.4418</v>
      </c>
      <c r="E31" s="12"/>
      <c r="F31" s="12"/>
      <c r="G31" s="31"/>
      <c r="H31" s="38"/>
    </row>
    <row r="32" spans="1:8" s="13" customFormat="1" ht="15.75" outlineLevel="1" x14ac:dyDescent="0.25">
      <c r="A32" s="10" t="s">
        <v>143</v>
      </c>
      <c r="B32" s="18" t="s">
        <v>54</v>
      </c>
      <c r="C32" s="24" t="s">
        <v>35</v>
      </c>
      <c r="D32" s="25">
        <f>D19*0.1</f>
        <v>1.4418</v>
      </c>
      <c r="E32" s="12"/>
      <c r="F32" s="12"/>
      <c r="G32" s="31"/>
      <c r="H32" s="39" t="s">
        <v>55</v>
      </c>
    </row>
    <row r="33" spans="1:8" s="13" customFormat="1" ht="25.5" outlineLevel="1" x14ac:dyDescent="0.25">
      <c r="A33" s="10" t="s">
        <v>144</v>
      </c>
      <c r="B33" s="18" t="s">
        <v>56</v>
      </c>
      <c r="C33" s="24" t="s">
        <v>58</v>
      </c>
      <c r="D33" s="25">
        <f>D19*0.8</f>
        <v>11.5344</v>
      </c>
      <c r="E33" s="12"/>
      <c r="F33" s="12"/>
      <c r="G33" s="31"/>
      <c r="H33" s="39" t="s">
        <v>57</v>
      </c>
    </row>
    <row r="34" spans="1:8" s="13" customFormat="1" ht="25.5" outlineLevel="1" x14ac:dyDescent="0.25">
      <c r="A34" s="10" t="s">
        <v>145</v>
      </c>
      <c r="B34" s="17" t="s">
        <v>62</v>
      </c>
      <c r="C34" s="22" t="s">
        <v>41</v>
      </c>
      <c r="D34" s="23">
        <f>D35</f>
        <v>3.3523999999999994</v>
      </c>
      <c r="E34" s="12"/>
      <c r="F34" s="12"/>
      <c r="G34" s="31"/>
      <c r="H34" s="38"/>
    </row>
    <row r="35" spans="1:8" s="13" customFormat="1" ht="15.75" outlineLevel="1" x14ac:dyDescent="0.25">
      <c r="A35" s="10" t="s">
        <v>146</v>
      </c>
      <c r="B35" s="18" t="s">
        <v>54</v>
      </c>
      <c r="C35" s="24" t="s">
        <v>35</v>
      </c>
      <c r="D35" s="25">
        <f>D20*0.1</f>
        <v>3.3523999999999994</v>
      </c>
      <c r="E35" s="12"/>
      <c r="F35" s="12"/>
      <c r="G35" s="31"/>
      <c r="H35" s="39" t="s">
        <v>55</v>
      </c>
    </row>
    <row r="36" spans="1:8" s="13" customFormat="1" ht="25.5" outlineLevel="1" x14ac:dyDescent="0.25">
      <c r="A36" s="10" t="s">
        <v>147</v>
      </c>
      <c r="B36" s="18" t="s">
        <v>56</v>
      </c>
      <c r="C36" s="24" t="s">
        <v>58</v>
      </c>
      <c r="D36" s="25">
        <f>D20*0.8</f>
        <v>26.819199999999995</v>
      </c>
      <c r="E36" s="12"/>
      <c r="F36" s="12"/>
      <c r="G36" s="31"/>
      <c r="H36" s="39" t="s">
        <v>57</v>
      </c>
    </row>
    <row r="37" spans="1:8" s="13" customFormat="1" ht="25.5" outlineLevel="1" x14ac:dyDescent="0.25">
      <c r="A37" s="27" t="s">
        <v>148</v>
      </c>
      <c r="B37" s="16" t="s">
        <v>63</v>
      </c>
      <c r="C37" s="20" t="s">
        <v>35</v>
      </c>
      <c r="D37" s="21">
        <f>D40+D42+D44+D46+D38</f>
        <v>45.138637500000002</v>
      </c>
      <c r="E37" s="28"/>
      <c r="F37" s="28">
        <f t="shared" si="0"/>
        <v>0</v>
      </c>
      <c r="G37" s="32"/>
      <c r="H37" s="37"/>
    </row>
    <row r="38" spans="1:8" s="13" customFormat="1" ht="25.5" outlineLevel="1" x14ac:dyDescent="0.25">
      <c r="A38" s="10" t="s">
        <v>149</v>
      </c>
      <c r="B38" s="17" t="s">
        <v>64</v>
      </c>
      <c r="C38" s="22" t="s">
        <v>41</v>
      </c>
      <c r="D38" s="23">
        <f>D39</f>
        <v>14.059979999999999</v>
      </c>
      <c r="E38" s="12"/>
      <c r="F38" s="12"/>
      <c r="G38" s="31"/>
      <c r="H38" s="38"/>
    </row>
    <row r="39" spans="1:8" s="13" customFormat="1" ht="15.75" outlineLevel="1" x14ac:dyDescent="0.25">
      <c r="A39" s="10" t="s">
        <v>150</v>
      </c>
      <c r="B39" s="18" t="s">
        <v>65</v>
      </c>
      <c r="C39" s="24" t="s">
        <v>35</v>
      </c>
      <c r="D39" s="25">
        <f>D16*0.15*1.1</f>
        <v>14.059979999999999</v>
      </c>
      <c r="E39" s="12"/>
      <c r="F39" s="12"/>
      <c r="G39" s="31"/>
      <c r="H39" s="39" t="s">
        <v>55</v>
      </c>
    </row>
    <row r="40" spans="1:8" s="13" customFormat="1" ht="25.5" outlineLevel="1" x14ac:dyDescent="0.25">
      <c r="A40" s="10" t="s">
        <v>151</v>
      </c>
      <c r="B40" s="17" t="s">
        <v>66</v>
      </c>
      <c r="C40" s="22" t="s">
        <v>41</v>
      </c>
      <c r="D40" s="23">
        <f>D41</f>
        <v>0.31407750000000001</v>
      </c>
      <c r="E40" s="12"/>
      <c r="F40" s="12"/>
      <c r="G40" s="31"/>
      <c r="H40" s="38"/>
    </row>
    <row r="41" spans="1:8" s="13" customFormat="1" ht="15.75" outlineLevel="1" x14ac:dyDescent="0.25">
      <c r="A41" s="10" t="s">
        <v>152</v>
      </c>
      <c r="B41" s="18" t="s">
        <v>65</v>
      </c>
      <c r="C41" s="24" t="s">
        <v>35</v>
      </c>
      <c r="D41" s="25">
        <f>D17*0.15*1.1</f>
        <v>0.31407750000000001</v>
      </c>
      <c r="E41" s="12"/>
      <c r="F41" s="12"/>
      <c r="G41" s="31"/>
      <c r="H41" s="39" t="s">
        <v>55</v>
      </c>
    </row>
    <row r="42" spans="1:8" s="13" customFormat="1" ht="25.5" outlineLevel="1" x14ac:dyDescent="0.25">
      <c r="A42" s="10" t="s">
        <v>153</v>
      </c>
      <c r="B42" s="17" t="s">
        <v>67</v>
      </c>
      <c r="C42" s="22" t="s">
        <v>41</v>
      </c>
      <c r="D42" s="23">
        <f>D43</f>
        <v>22.854150000000004</v>
      </c>
      <c r="E42" s="12"/>
      <c r="F42" s="12"/>
      <c r="G42" s="31"/>
      <c r="H42" s="38"/>
    </row>
    <row r="43" spans="1:8" s="13" customFormat="1" ht="15.75" outlineLevel="1" x14ac:dyDescent="0.25">
      <c r="A43" s="10" t="s">
        <v>154</v>
      </c>
      <c r="B43" s="18" t="s">
        <v>65</v>
      </c>
      <c r="C43" s="24" t="s">
        <v>35</v>
      </c>
      <c r="D43" s="25">
        <f>D18*0.15*1.1</f>
        <v>22.854150000000004</v>
      </c>
      <c r="E43" s="12"/>
      <c r="F43" s="12"/>
      <c r="G43" s="31"/>
      <c r="H43" s="39" t="s">
        <v>55</v>
      </c>
    </row>
    <row r="44" spans="1:8" s="13" customFormat="1" ht="25.5" outlineLevel="1" x14ac:dyDescent="0.25">
      <c r="A44" s="10" t="s">
        <v>155</v>
      </c>
      <c r="B44" s="17" t="s">
        <v>68</v>
      </c>
      <c r="C44" s="22" t="s">
        <v>41</v>
      </c>
      <c r="D44" s="23">
        <f>D45</f>
        <v>2.3789699999999998</v>
      </c>
      <c r="E44" s="12"/>
      <c r="F44" s="12"/>
      <c r="G44" s="31"/>
      <c r="H44" s="38"/>
    </row>
    <row r="45" spans="1:8" s="13" customFormat="1" ht="15.75" outlineLevel="1" x14ac:dyDescent="0.25">
      <c r="A45" s="10" t="s">
        <v>156</v>
      </c>
      <c r="B45" s="18" t="s">
        <v>65</v>
      </c>
      <c r="C45" s="24" t="s">
        <v>35</v>
      </c>
      <c r="D45" s="25">
        <f>D19*0.15*1.1</f>
        <v>2.3789699999999998</v>
      </c>
      <c r="E45" s="12"/>
      <c r="F45" s="12"/>
      <c r="G45" s="31"/>
      <c r="H45" s="39" t="s">
        <v>55</v>
      </c>
    </row>
    <row r="46" spans="1:8" s="13" customFormat="1" ht="25.5" outlineLevel="1" x14ac:dyDescent="0.25">
      <c r="A46" s="10" t="s">
        <v>157</v>
      </c>
      <c r="B46" s="17" t="s">
        <v>69</v>
      </c>
      <c r="C46" s="22" t="s">
        <v>41</v>
      </c>
      <c r="D46" s="23">
        <f>D47</f>
        <v>5.5314599999999992</v>
      </c>
      <c r="E46" s="12"/>
      <c r="F46" s="12"/>
      <c r="G46" s="31"/>
      <c r="H46" s="38"/>
    </row>
    <row r="47" spans="1:8" s="13" customFormat="1" ht="15.75" outlineLevel="1" x14ac:dyDescent="0.25">
      <c r="A47" s="10" t="s">
        <v>158</v>
      </c>
      <c r="B47" s="18" t="s">
        <v>65</v>
      </c>
      <c r="C47" s="24" t="s">
        <v>35</v>
      </c>
      <c r="D47" s="25">
        <f>D20*0.15*1.1</f>
        <v>5.5314599999999992</v>
      </c>
      <c r="E47" s="12"/>
      <c r="F47" s="12"/>
      <c r="G47" s="31"/>
      <c r="H47" s="39" t="s">
        <v>55</v>
      </c>
    </row>
    <row r="48" spans="1:8" s="13" customFormat="1" ht="38.25" outlineLevel="1" x14ac:dyDescent="0.25">
      <c r="A48" s="27" t="s">
        <v>159</v>
      </c>
      <c r="B48" s="16" t="s">
        <v>33</v>
      </c>
      <c r="C48" s="20" t="s">
        <v>35</v>
      </c>
      <c r="D48" s="21">
        <f>D51+D53+D55+D57+D49</f>
        <v>54.71350000000001</v>
      </c>
      <c r="E48" s="28"/>
      <c r="F48" s="28">
        <f t="shared" si="0"/>
        <v>0</v>
      </c>
      <c r="G48" s="32"/>
      <c r="H48" s="37"/>
    </row>
    <row r="49" spans="1:8" s="13" customFormat="1" ht="25.5" outlineLevel="1" x14ac:dyDescent="0.25">
      <c r="A49" s="10" t="s">
        <v>160</v>
      </c>
      <c r="B49" s="17" t="s">
        <v>70</v>
      </c>
      <c r="C49" s="22" t="s">
        <v>41</v>
      </c>
      <c r="D49" s="23">
        <f>D50</f>
        <v>17.042399999999997</v>
      </c>
      <c r="E49" s="12"/>
      <c r="F49" s="12"/>
      <c r="G49" s="31"/>
      <c r="H49" s="38"/>
    </row>
    <row r="50" spans="1:8" s="13" customFormat="1" ht="25.5" outlineLevel="1" x14ac:dyDescent="0.25">
      <c r="A50" s="10" t="s">
        <v>161</v>
      </c>
      <c r="B50" s="18" t="s">
        <v>71</v>
      </c>
      <c r="C50" s="24" t="s">
        <v>35</v>
      </c>
      <c r="D50" s="25">
        <f>D16*0.2</f>
        <v>17.042399999999997</v>
      </c>
      <c r="E50" s="12"/>
      <c r="F50" s="12"/>
      <c r="G50" s="31"/>
      <c r="H50" s="39" t="s">
        <v>55</v>
      </c>
    </row>
    <row r="51" spans="1:8" s="13" customFormat="1" ht="25.5" outlineLevel="1" x14ac:dyDescent="0.25">
      <c r="A51" s="10" t="s">
        <v>162</v>
      </c>
      <c r="B51" s="17" t="s">
        <v>72</v>
      </c>
      <c r="C51" s="22" t="s">
        <v>41</v>
      </c>
      <c r="D51" s="23">
        <f>D52</f>
        <v>0.38069999999999998</v>
      </c>
      <c r="E51" s="12"/>
      <c r="F51" s="12"/>
      <c r="G51" s="31"/>
      <c r="H51" s="38"/>
    </row>
    <row r="52" spans="1:8" s="13" customFormat="1" ht="25.5" outlineLevel="1" x14ac:dyDescent="0.25">
      <c r="A52" s="10" t="s">
        <v>163</v>
      </c>
      <c r="B52" s="18" t="s">
        <v>71</v>
      </c>
      <c r="C52" s="24" t="s">
        <v>35</v>
      </c>
      <c r="D52" s="25">
        <f>D17*0.2</f>
        <v>0.38069999999999998</v>
      </c>
      <c r="E52" s="12"/>
      <c r="F52" s="12"/>
      <c r="G52" s="31"/>
      <c r="H52" s="39" t="s">
        <v>55</v>
      </c>
    </row>
    <row r="53" spans="1:8" s="13" customFormat="1" ht="25.5" outlineLevel="1" x14ac:dyDescent="0.25">
      <c r="A53" s="10" t="s">
        <v>164</v>
      </c>
      <c r="B53" s="17" t="s">
        <v>73</v>
      </c>
      <c r="C53" s="22" t="s">
        <v>41</v>
      </c>
      <c r="D53" s="23">
        <f>D54</f>
        <v>27.702000000000005</v>
      </c>
      <c r="E53" s="12"/>
      <c r="F53" s="12"/>
      <c r="G53" s="31"/>
      <c r="H53" s="38"/>
    </row>
    <row r="54" spans="1:8" s="13" customFormat="1" ht="25.5" outlineLevel="1" x14ac:dyDescent="0.25">
      <c r="A54" s="10" t="s">
        <v>165</v>
      </c>
      <c r="B54" s="18" t="s">
        <v>71</v>
      </c>
      <c r="C54" s="24" t="s">
        <v>35</v>
      </c>
      <c r="D54" s="25">
        <f>D18*0.2</f>
        <v>27.702000000000005</v>
      </c>
      <c r="E54" s="12"/>
      <c r="F54" s="12"/>
      <c r="G54" s="31"/>
      <c r="H54" s="39" t="s">
        <v>55</v>
      </c>
    </row>
    <row r="55" spans="1:8" s="13" customFormat="1" ht="25.5" outlineLevel="1" x14ac:dyDescent="0.25">
      <c r="A55" s="10" t="s">
        <v>166</v>
      </c>
      <c r="B55" s="17" t="s">
        <v>74</v>
      </c>
      <c r="C55" s="22" t="s">
        <v>41</v>
      </c>
      <c r="D55" s="23">
        <f>D56</f>
        <v>2.8835999999999999</v>
      </c>
      <c r="E55" s="12"/>
      <c r="F55" s="12"/>
      <c r="G55" s="31"/>
      <c r="H55" s="38"/>
    </row>
    <row r="56" spans="1:8" s="13" customFormat="1" ht="25.5" outlineLevel="1" x14ac:dyDescent="0.25">
      <c r="A56" s="10" t="s">
        <v>167</v>
      </c>
      <c r="B56" s="18" t="s">
        <v>71</v>
      </c>
      <c r="C56" s="24" t="s">
        <v>35</v>
      </c>
      <c r="D56" s="25">
        <f>D19*0.2</f>
        <v>2.8835999999999999</v>
      </c>
      <c r="E56" s="12"/>
      <c r="F56" s="12"/>
      <c r="G56" s="31"/>
      <c r="H56" s="39" t="s">
        <v>55</v>
      </c>
    </row>
    <row r="57" spans="1:8" s="13" customFormat="1" ht="25.5" outlineLevel="1" x14ac:dyDescent="0.25">
      <c r="A57" s="10" t="s">
        <v>168</v>
      </c>
      <c r="B57" s="17" t="s">
        <v>75</v>
      </c>
      <c r="C57" s="22" t="s">
        <v>41</v>
      </c>
      <c r="D57" s="23">
        <f>D58</f>
        <v>6.7047999999999988</v>
      </c>
      <c r="E57" s="12"/>
      <c r="F57" s="12"/>
      <c r="G57" s="31"/>
      <c r="H57" s="38"/>
    </row>
    <row r="58" spans="1:8" s="13" customFormat="1" ht="25.5" outlineLevel="1" x14ac:dyDescent="0.25">
      <c r="A58" s="10" t="s">
        <v>169</v>
      </c>
      <c r="B58" s="18" t="s">
        <v>71</v>
      </c>
      <c r="C58" s="24" t="s">
        <v>35</v>
      </c>
      <c r="D58" s="25">
        <f>D20*0.2</f>
        <v>6.7047999999999988</v>
      </c>
      <c r="E58" s="12"/>
      <c r="F58" s="12"/>
      <c r="G58" s="31"/>
      <c r="H58" s="39" t="s">
        <v>55</v>
      </c>
    </row>
    <row r="59" spans="1:8" s="13" customFormat="1" ht="38.25" outlineLevel="1" x14ac:dyDescent="0.25">
      <c r="A59" s="27" t="s">
        <v>170</v>
      </c>
      <c r="B59" s="16" t="s">
        <v>76</v>
      </c>
      <c r="C59" s="20" t="s">
        <v>77</v>
      </c>
      <c r="D59" s="21">
        <v>1</v>
      </c>
      <c r="E59" s="28"/>
      <c r="F59" s="28">
        <f t="shared" si="0"/>
        <v>0</v>
      </c>
      <c r="G59" s="32"/>
      <c r="H59" s="37"/>
    </row>
    <row r="60" spans="1:8" s="13" customFormat="1" ht="15.75" outlineLevel="1" x14ac:dyDescent="0.25">
      <c r="A60" s="10" t="s">
        <v>171</v>
      </c>
      <c r="B60" s="17" t="s">
        <v>78</v>
      </c>
      <c r="C60" s="22" t="s">
        <v>41</v>
      </c>
      <c r="D60" s="23">
        <f>21.04*3.05*0.1</f>
        <v>6.4172000000000002</v>
      </c>
      <c r="E60" s="12"/>
      <c r="F60" s="12"/>
      <c r="G60" s="31"/>
      <c r="H60" s="38"/>
    </row>
    <row r="61" spans="1:8" s="13" customFormat="1" ht="15.75" outlineLevel="1" x14ac:dyDescent="0.25">
      <c r="A61" s="10" t="s">
        <v>172</v>
      </c>
      <c r="B61" s="18" t="s">
        <v>79</v>
      </c>
      <c r="C61" s="24" t="s">
        <v>35</v>
      </c>
      <c r="D61" s="25">
        <f>D60*1.02</f>
        <v>6.5455440000000005</v>
      </c>
      <c r="E61" s="12"/>
      <c r="F61" s="12"/>
      <c r="G61" s="31"/>
      <c r="H61" s="39" t="s">
        <v>55</v>
      </c>
    </row>
    <row r="62" spans="1:8" s="13" customFormat="1" ht="15.75" outlineLevel="1" x14ac:dyDescent="0.25">
      <c r="A62" s="10" t="s">
        <v>173</v>
      </c>
      <c r="B62" s="17" t="s">
        <v>80</v>
      </c>
      <c r="C62" s="22" t="s">
        <v>36</v>
      </c>
      <c r="D62" s="23">
        <f>D16+(21.04*3.05)+(21.04*1.165*2)</f>
        <v>198.40719999999999</v>
      </c>
      <c r="E62" s="12"/>
      <c r="F62" s="12"/>
      <c r="G62" s="31"/>
      <c r="H62" s="38"/>
    </row>
    <row r="63" spans="1:8" s="13" customFormat="1" ht="15.75" outlineLevel="1" x14ac:dyDescent="0.25">
      <c r="A63" s="10" t="s">
        <v>174</v>
      </c>
      <c r="B63" s="18" t="s">
        <v>81</v>
      </c>
      <c r="C63" s="24" t="s">
        <v>82</v>
      </c>
      <c r="D63" s="25">
        <f>D62*0.3</f>
        <v>59.522159999999992</v>
      </c>
      <c r="E63" s="12"/>
      <c r="F63" s="12"/>
      <c r="G63" s="31"/>
      <c r="H63" s="39" t="s">
        <v>57</v>
      </c>
    </row>
    <row r="64" spans="1:8" s="13" customFormat="1" ht="25.5" outlineLevel="1" x14ac:dyDescent="0.25">
      <c r="A64" s="10" t="s">
        <v>175</v>
      </c>
      <c r="B64" s="18" t="s">
        <v>83</v>
      </c>
      <c r="C64" s="24" t="s">
        <v>36</v>
      </c>
      <c r="D64" s="25">
        <f>(D16+(21.04*3.05)+(21.04*1.165*2))*2*1.15</f>
        <v>456.33655999999996</v>
      </c>
      <c r="E64" s="12"/>
      <c r="F64" s="12"/>
      <c r="G64" s="31"/>
      <c r="H64" s="39" t="s">
        <v>57</v>
      </c>
    </row>
    <row r="65" spans="1:8" s="13" customFormat="1" ht="25.5" outlineLevel="1" x14ac:dyDescent="0.25">
      <c r="A65" s="10" t="s">
        <v>176</v>
      </c>
      <c r="B65" s="17" t="s">
        <v>84</v>
      </c>
      <c r="C65" s="22" t="s">
        <v>41</v>
      </c>
      <c r="D65" s="23">
        <f>(21.04*3.05*0.03)</f>
        <v>1.9251599999999998</v>
      </c>
      <c r="E65" s="12"/>
      <c r="F65" s="12"/>
      <c r="G65" s="31"/>
      <c r="H65" s="38"/>
    </row>
    <row r="66" spans="1:8" s="13" customFormat="1" ht="15.75" outlineLevel="1" x14ac:dyDescent="0.25">
      <c r="A66" s="10" t="s">
        <v>177</v>
      </c>
      <c r="B66" s="18" t="s">
        <v>85</v>
      </c>
      <c r="C66" s="24" t="s">
        <v>58</v>
      </c>
      <c r="D66" s="26">
        <f>D65*1550</f>
        <v>2983.9979999999996</v>
      </c>
      <c r="E66" s="12"/>
      <c r="F66" s="12"/>
      <c r="G66" s="31"/>
      <c r="H66" s="39" t="s">
        <v>55</v>
      </c>
    </row>
    <row r="67" spans="1:8" s="13" customFormat="1" ht="25.5" outlineLevel="1" x14ac:dyDescent="0.25">
      <c r="A67" s="10" t="s">
        <v>178</v>
      </c>
      <c r="B67" s="17" t="s">
        <v>86</v>
      </c>
      <c r="C67" s="22" t="s">
        <v>35</v>
      </c>
      <c r="D67" s="23">
        <f>((21.04*3.05*0.3)+(21.04*0.75*0.3*2)+(1.41*3.05*0.3))-(((3.14*0.3*(0.219*0.219)/4)*2)+((3.14*0.3*(0.273*0.273)/4)*2)+((3.14*0.3*(0.426*0.426)/4)*2))</f>
        <v>29.866582013999999</v>
      </c>
      <c r="E67" s="12"/>
      <c r="F67" s="12"/>
      <c r="G67" s="31"/>
      <c r="H67" s="38"/>
    </row>
    <row r="68" spans="1:8" s="13" customFormat="1" ht="15.75" outlineLevel="1" x14ac:dyDescent="0.25">
      <c r="A68" s="10" t="s">
        <v>179</v>
      </c>
      <c r="B68" s="18" t="s">
        <v>87</v>
      </c>
      <c r="C68" s="24" t="s">
        <v>35</v>
      </c>
      <c r="D68" s="25">
        <f>D67*1.02</f>
        <v>30.463913654279999</v>
      </c>
      <c r="E68" s="12"/>
      <c r="F68" s="12"/>
      <c r="G68" s="31"/>
      <c r="H68" s="39" t="s">
        <v>55</v>
      </c>
    </row>
    <row r="69" spans="1:8" s="13" customFormat="1" ht="15.75" outlineLevel="1" x14ac:dyDescent="0.25">
      <c r="A69" s="10" t="s">
        <v>180</v>
      </c>
      <c r="B69" s="18" t="s">
        <v>88</v>
      </c>
      <c r="C69" s="24" t="s">
        <v>89</v>
      </c>
      <c r="D69" s="25">
        <f>(1265.76*1.17)*1.578*1.03/1000</f>
        <v>2.4070297193279999</v>
      </c>
      <c r="E69" s="12"/>
      <c r="F69" s="12"/>
      <c r="G69" s="31"/>
      <c r="H69" s="39" t="s">
        <v>55</v>
      </c>
    </row>
    <row r="70" spans="1:8" s="13" customFormat="1" ht="15.75" outlineLevel="1" x14ac:dyDescent="0.25">
      <c r="A70" s="10" t="s">
        <v>181</v>
      </c>
      <c r="B70" s="18" t="s">
        <v>90</v>
      </c>
      <c r="C70" s="24" t="s">
        <v>89</v>
      </c>
      <c r="D70" s="25">
        <f>(316.48*1.17)*0.888*1.03/1000</f>
        <v>0.33867436262400002</v>
      </c>
      <c r="E70" s="12"/>
      <c r="F70" s="12"/>
      <c r="G70" s="31"/>
      <c r="H70" s="39" t="s">
        <v>55</v>
      </c>
    </row>
    <row r="71" spans="1:8" s="13" customFormat="1" ht="15.75" outlineLevel="1" x14ac:dyDescent="0.25">
      <c r="A71" s="10" t="s">
        <v>182</v>
      </c>
      <c r="B71" s="18" t="s">
        <v>91</v>
      </c>
      <c r="C71" s="24" t="s">
        <v>89</v>
      </c>
      <c r="D71" s="25">
        <f>(362*1.17)*1.42*1.03/1000</f>
        <v>0.61946960399999995</v>
      </c>
      <c r="E71" s="12"/>
      <c r="F71" s="12"/>
      <c r="G71" s="31"/>
      <c r="H71" s="39" t="s">
        <v>55</v>
      </c>
    </row>
    <row r="72" spans="1:8" s="13" customFormat="1" ht="15.75" outlineLevel="1" x14ac:dyDescent="0.25">
      <c r="A72" s="10" t="s">
        <v>183</v>
      </c>
      <c r="B72" s="18" t="s">
        <v>92</v>
      </c>
      <c r="C72" s="24" t="s">
        <v>89</v>
      </c>
      <c r="D72" s="25">
        <f>(182*1.17)*2.51*1.03/1000</f>
        <v>0.55051378200000001</v>
      </c>
      <c r="E72" s="12"/>
      <c r="F72" s="12"/>
      <c r="G72" s="31"/>
      <c r="H72" s="39" t="s">
        <v>55</v>
      </c>
    </row>
    <row r="73" spans="1:8" s="13" customFormat="1" ht="15.75" outlineLevel="1" x14ac:dyDescent="0.25">
      <c r="A73" s="10" t="s">
        <v>184</v>
      </c>
      <c r="B73" s="18" t="s">
        <v>93</v>
      </c>
      <c r="C73" s="24" t="s">
        <v>89</v>
      </c>
      <c r="D73" s="25">
        <f>(180*1.17)*1.11*1.03/1000</f>
        <v>0.24077898000000003</v>
      </c>
      <c r="E73" s="12"/>
      <c r="F73" s="12"/>
      <c r="G73" s="31"/>
      <c r="H73" s="39" t="s">
        <v>55</v>
      </c>
    </row>
    <row r="74" spans="1:8" s="13" customFormat="1" ht="15.75" outlineLevel="1" x14ac:dyDescent="0.25">
      <c r="A74" s="10" t="s">
        <v>185</v>
      </c>
      <c r="B74" s="17" t="s">
        <v>94</v>
      </c>
      <c r="C74" s="22" t="s">
        <v>37</v>
      </c>
      <c r="D74" s="23">
        <f>D75</f>
        <v>28</v>
      </c>
      <c r="E74" s="12"/>
      <c r="F74" s="12"/>
      <c r="G74" s="31"/>
      <c r="H74" s="38"/>
    </row>
    <row r="75" spans="1:8" s="13" customFormat="1" ht="15.75" outlineLevel="1" x14ac:dyDescent="0.25">
      <c r="A75" s="10" t="s">
        <v>186</v>
      </c>
      <c r="B75" s="18" t="s">
        <v>95</v>
      </c>
      <c r="C75" s="24" t="s">
        <v>37</v>
      </c>
      <c r="D75" s="25">
        <f>23+5</f>
        <v>28</v>
      </c>
      <c r="E75" s="12"/>
      <c r="F75" s="12"/>
      <c r="G75" s="31"/>
      <c r="H75" s="39" t="s">
        <v>57</v>
      </c>
    </row>
    <row r="76" spans="1:8" s="13" customFormat="1" ht="25.5" outlineLevel="1" x14ac:dyDescent="0.25">
      <c r="A76" s="10" t="s">
        <v>187</v>
      </c>
      <c r="B76" s="17" t="s">
        <v>96</v>
      </c>
      <c r="C76" s="22" t="s">
        <v>41</v>
      </c>
      <c r="D76" s="23">
        <f>(21.04*3.45*0.2)+(21.04*1.53*0.2*2)</f>
        <v>27.394080000000002</v>
      </c>
      <c r="E76" s="12"/>
      <c r="F76" s="12"/>
      <c r="G76" s="31"/>
      <c r="H76" s="38"/>
    </row>
    <row r="77" spans="1:8" s="13" customFormat="1" ht="25.5" outlineLevel="1" x14ac:dyDescent="0.25">
      <c r="A77" s="10" t="s">
        <v>188</v>
      </c>
      <c r="B77" s="18" t="s">
        <v>71</v>
      </c>
      <c r="C77" s="24" t="s">
        <v>35</v>
      </c>
      <c r="D77" s="25">
        <f>D76</f>
        <v>27.394080000000002</v>
      </c>
      <c r="E77" s="12"/>
      <c r="F77" s="12"/>
      <c r="G77" s="31"/>
      <c r="H77" s="39" t="s">
        <v>55</v>
      </c>
    </row>
    <row r="78" spans="1:8" s="13" customFormat="1" ht="38.25" outlineLevel="1" x14ac:dyDescent="0.25">
      <c r="A78" s="27" t="s">
        <v>189</v>
      </c>
      <c r="B78" s="16" t="s">
        <v>97</v>
      </c>
      <c r="C78" s="20" t="s">
        <v>77</v>
      </c>
      <c r="D78" s="21">
        <v>1</v>
      </c>
      <c r="E78" s="28"/>
      <c r="F78" s="28">
        <f t="shared" ref="F78:F129" si="1">E78*D78</f>
        <v>0</v>
      </c>
      <c r="G78" s="32"/>
      <c r="H78" s="37"/>
    </row>
    <row r="79" spans="1:8" s="13" customFormat="1" ht="25.5" outlineLevel="1" x14ac:dyDescent="0.25">
      <c r="A79" s="10" t="s">
        <v>190</v>
      </c>
      <c r="B79" s="17" t="s">
        <v>98</v>
      </c>
      <c r="C79" s="22" t="s">
        <v>41</v>
      </c>
      <c r="D79" s="23">
        <f>0.47*3.05*0.1</f>
        <v>0.14334999999999998</v>
      </c>
      <c r="E79" s="12"/>
      <c r="F79" s="12"/>
      <c r="G79" s="31"/>
      <c r="H79" s="38"/>
    </row>
    <row r="80" spans="1:8" s="13" customFormat="1" ht="15.75" outlineLevel="1" x14ac:dyDescent="0.25">
      <c r="A80" s="10" t="s">
        <v>191</v>
      </c>
      <c r="B80" s="18" t="s">
        <v>79</v>
      </c>
      <c r="C80" s="24" t="s">
        <v>35</v>
      </c>
      <c r="D80" s="25">
        <f>D79*1.02</f>
        <v>0.14621699999999999</v>
      </c>
      <c r="E80" s="12"/>
      <c r="F80" s="12"/>
      <c r="G80" s="31"/>
      <c r="H80" s="39" t="s">
        <v>55</v>
      </c>
    </row>
    <row r="81" spans="1:8" s="13" customFormat="1" ht="25.5" outlineLevel="1" x14ac:dyDescent="0.25">
      <c r="A81" s="10" t="s">
        <v>192</v>
      </c>
      <c r="B81" s="17" t="s">
        <v>99</v>
      </c>
      <c r="C81" s="22" t="s">
        <v>36</v>
      </c>
      <c r="D81" s="23">
        <f>D17+(0.47*3.05)+(0.47*1.165*2)</f>
        <v>4.4321000000000002</v>
      </c>
      <c r="E81" s="12"/>
      <c r="F81" s="12"/>
      <c r="G81" s="31"/>
      <c r="H81" s="38"/>
    </row>
    <row r="82" spans="1:8" s="13" customFormat="1" ht="15.75" outlineLevel="1" x14ac:dyDescent="0.25">
      <c r="A82" s="10" t="s">
        <v>193</v>
      </c>
      <c r="B82" s="18" t="s">
        <v>81</v>
      </c>
      <c r="C82" s="24" t="s">
        <v>82</v>
      </c>
      <c r="D82" s="25">
        <f>D81*0.3</f>
        <v>1.3296300000000001</v>
      </c>
      <c r="E82" s="12"/>
      <c r="F82" s="12"/>
      <c r="G82" s="31"/>
      <c r="H82" s="39" t="s">
        <v>57</v>
      </c>
    </row>
    <row r="83" spans="1:8" s="13" customFormat="1" ht="25.5" outlineLevel="1" x14ac:dyDescent="0.25">
      <c r="A83" s="10" t="s">
        <v>194</v>
      </c>
      <c r="B83" s="18" t="s">
        <v>83</v>
      </c>
      <c r="C83" s="24" t="s">
        <v>36</v>
      </c>
      <c r="D83" s="25">
        <f>(D17+(0.47*3.05)+(0.47*1.165*2))*2*1.15</f>
        <v>10.19383</v>
      </c>
      <c r="E83" s="12"/>
      <c r="F83" s="12"/>
      <c r="G83" s="31"/>
      <c r="H83" s="39" t="s">
        <v>57</v>
      </c>
    </row>
    <row r="84" spans="1:8" s="13" customFormat="1" ht="25.5" outlineLevel="1" x14ac:dyDescent="0.25">
      <c r="A84" s="10" t="s">
        <v>195</v>
      </c>
      <c r="B84" s="17" t="s">
        <v>100</v>
      </c>
      <c r="C84" s="22" t="s">
        <v>41</v>
      </c>
      <c r="D84" s="23">
        <f>(0.47*3.05*0.03)</f>
        <v>4.3004999999999995E-2</v>
      </c>
      <c r="E84" s="12"/>
      <c r="F84" s="12"/>
      <c r="G84" s="31"/>
      <c r="H84" s="38"/>
    </row>
    <row r="85" spans="1:8" s="13" customFormat="1" ht="15.75" outlineLevel="1" x14ac:dyDescent="0.25">
      <c r="A85" s="10" t="s">
        <v>196</v>
      </c>
      <c r="B85" s="18" t="s">
        <v>85</v>
      </c>
      <c r="C85" s="24" t="s">
        <v>58</v>
      </c>
      <c r="D85" s="26">
        <f>D84*1550</f>
        <v>66.657749999999993</v>
      </c>
      <c r="E85" s="12"/>
      <c r="F85" s="12"/>
      <c r="G85" s="31"/>
      <c r="H85" s="39" t="s">
        <v>55</v>
      </c>
    </row>
    <row r="86" spans="1:8" s="13" customFormat="1" ht="25.5" outlineLevel="1" x14ac:dyDescent="0.25">
      <c r="A86" s="10" t="s">
        <v>197</v>
      </c>
      <c r="B86" s="17" t="s">
        <v>101</v>
      </c>
      <c r="C86" s="22" t="s">
        <v>35</v>
      </c>
      <c r="D86" s="23">
        <f>(0.47*3.05*0.3*2)+(0.47*0.75*0.3*2)</f>
        <v>1.0715999999999999</v>
      </c>
      <c r="E86" s="12"/>
      <c r="F86" s="12"/>
      <c r="G86" s="31"/>
      <c r="H86" s="38"/>
    </row>
    <row r="87" spans="1:8" s="13" customFormat="1" ht="15.75" outlineLevel="1" x14ac:dyDescent="0.25">
      <c r="A87" s="10" t="s">
        <v>198</v>
      </c>
      <c r="B87" s="18" t="s">
        <v>87</v>
      </c>
      <c r="C87" s="24" t="s">
        <v>35</v>
      </c>
      <c r="D87" s="25">
        <f>D86*1.02</f>
        <v>1.093032</v>
      </c>
      <c r="E87" s="12"/>
      <c r="F87" s="12"/>
      <c r="G87" s="31"/>
      <c r="H87" s="39" t="s">
        <v>55</v>
      </c>
    </row>
    <row r="88" spans="1:8" s="13" customFormat="1" ht="15.75" outlineLevel="1" x14ac:dyDescent="0.25">
      <c r="A88" s="10" t="s">
        <v>199</v>
      </c>
      <c r="B88" s="18" t="s">
        <v>90</v>
      </c>
      <c r="C88" s="24" t="s">
        <v>89</v>
      </c>
      <c r="D88" s="25">
        <f>9.81*0.888*1.03/1000</f>
        <v>8.9726184E-3</v>
      </c>
      <c r="E88" s="12"/>
      <c r="F88" s="12"/>
      <c r="G88" s="31"/>
      <c r="H88" s="39" t="s">
        <v>55</v>
      </c>
    </row>
    <row r="89" spans="1:8" s="13" customFormat="1" ht="15.75" outlineLevel="1" x14ac:dyDescent="0.25">
      <c r="A89" s="10" t="s">
        <v>200</v>
      </c>
      <c r="B89" s="18" t="s">
        <v>102</v>
      </c>
      <c r="C89" s="24" t="s">
        <v>89</v>
      </c>
      <c r="D89" s="25">
        <f>15*1.15*1.03/1000</f>
        <v>1.7767500000000002E-2</v>
      </c>
      <c r="E89" s="12"/>
      <c r="F89" s="12"/>
      <c r="G89" s="31"/>
      <c r="H89" s="39" t="s">
        <v>55</v>
      </c>
    </row>
    <row r="90" spans="1:8" s="13" customFormat="1" ht="25.5" outlineLevel="1" x14ac:dyDescent="0.25">
      <c r="A90" s="10" t="s">
        <v>201</v>
      </c>
      <c r="B90" s="17" t="s">
        <v>103</v>
      </c>
      <c r="C90" s="22" t="s">
        <v>41</v>
      </c>
      <c r="D90" s="23">
        <f>(0.47*3.45*0.2)+(0.47*1.53*0.2*2)</f>
        <v>0.61194000000000004</v>
      </c>
      <c r="E90" s="12"/>
      <c r="F90" s="12"/>
      <c r="G90" s="31"/>
      <c r="H90" s="38"/>
    </row>
    <row r="91" spans="1:8" s="13" customFormat="1" ht="25.5" outlineLevel="1" x14ac:dyDescent="0.25">
      <c r="A91" s="10" t="s">
        <v>202</v>
      </c>
      <c r="B91" s="18" t="s">
        <v>71</v>
      </c>
      <c r="C91" s="24" t="s">
        <v>35</v>
      </c>
      <c r="D91" s="25">
        <f>D90</f>
        <v>0.61194000000000004</v>
      </c>
      <c r="E91" s="12"/>
      <c r="F91" s="12"/>
      <c r="G91" s="31"/>
      <c r="H91" s="39" t="s">
        <v>55</v>
      </c>
    </row>
    <row r="92" spans="1:8" s="13" customFormat="1" ht="38.25" outlineLevel="1" x14ac:dyDescent="0.25">
      <c r="A92" s="27" t="s">
        <v>203</v>
      </c>
      <c r="B92" s="16" t="s">
        <v>104</v>
      </c>
      <c r="C92" s="20" t="s">
        <v>77</v>
      </c>
      <c r="D92" s="21">
        <v>1</v>
      </c>
      <c r="E92" s="28"/>
      <c r="F92" s="28">
        <f t="shared" si="1"/>
        <v>0</v>
      </c>
      <c r="G92" s="32"/>
      <c r="H92" s="37"/>
    </row>
    <row r="93" spans="1:8" s="13" customFormat="1" ht="15.75" outlineLevel="1" x14ac:dyDescent="0.25">
      <c r="A93" s="10" t="s">
        <v>204</v>
      </c>
      <c r="B93" s="17" t="s">
        <v>105</v>
      </c>
      <c r="C93" s="22" t="s">
        <v>41</v>
      </c>
      <c r="D93" s="23">
        <f>34.2*3.05*0.1</f>
        <v>10.431000000000001</v>
      </c>
      <c r="E93" s="12"/>
      <c r="F93" s="12"/>
      <c r="G93" s="31"/>
      <c r="H93" s="38"/>
    </row>
    <row r="94" spans="1:8" s="13" customFormat="1" ht="15.75" outlineLevel="1" x14ac:dyDescent="0.25">
      <c r="A94" s="10" t="s">
        <v>205</v>
      </c>
      <c r="B94" s="18" t="s">
        <v>79</v>
      </c>
      <c r="C94" s="24" t="s">
        <v>35</v>
      </c>
      <c r="D94" s="25">
        <f>D93*1.02</f>
        <v>10.639620000000001</v>
      </c>
      <c r="E94" s="12"/>
      <c r="F94" s="12"/>
      <c r="G94" s="31"/>
      <c r="H94" s="39" t="s">
        <v>55</v>
      </c>
    </row>
    <row r="95" spans="1:8" s="13" customFormat="1" ht="15.75" outlineLevel="1" x14ac:dyDescent="0.25">
      <c r="A95" s="10" t="s">
        <v>206</v>
      </c>
      <c r="B95" s="17" t="s">
        <v>106</v>
      </c>
      <c r="C95" s="22" t="s">
        <v>36</v>
      </c>
      <c r="D95" s="23">
        <f>D18+(34.2*3.05)+(34.2*1.165*2)</f>
        <v>322.50600000000003</v>
      </c>
      <c r="E95" s="12"/>
      <c r="F95" s="12"/>
      <c r="G95" s="31"/>
      <c r="H95" s="38"/>
    </row>
    <row r="96" spans="1:8" s="13" customFormat="1" ht="15.75" outlineLevel="1" x14ac:dyDescent="0.25">
      <c r="A96" s="10" t="s">
        <v>207</v>
      </c>
      <c r="B96" s="18" t="s">
        <v>81</v>
      </c>
      <c r="C96" s="24" t="s">
        <v>82</v>
      </c>
      <c r="D96" s="25">
        <f>D95*0.3</f>
        <v>96.751800000000003</v>
      </c>
      <c r="E96" s="12"/>
      <c r="F96" s="12"/>
      <c r="G96" s="31"/>
      <c r="H96" s="39" t="s">
        <v>57</v>
      </c>
    </row>
    <row r="97" spans="1:8" s="13" customFormat="1" ht="25.5" outlineLevel="1" x14ac:dyDescent="0.25">
      <c r="A97" s="10" t="s">
        <v>208</v>
      </c>
      <c r="B97" s="18" t="s">
        <v>83</v>
      </c>
      <c r="C97" s="24" t="s">
        <v>36</v>
      </c>
      <c r="D97" s="25">
        <f>(D18+(34.2*3.05)+(34.2*1.165*2))*2*1.15</f>
        <v>741.76380000000006</v>
      </c>
      <c r="E97" s="12"/>
      <c r="F97" s="12"/>
      <c r="G97" s="31"/>
      <c r="H97" s="39" t="s">
        <v>57</v>
      </c>
    </row>
    <row r="98" spans="1:8" s="13" customFormat="1" ht="25.5" outlineLevel="1" x14ac:dyDescent="0.25">
      <c r="A98" s="10" t="s">
        <v>209</v>
      </c>
      <c r="B98" s="17" t="s">
        <v>107</v>
      </c>
      <c r="C98" s="22" t="s">
        <v>41</v>
      </c>
      <c r="D98" s="23">
        <f>(34.2*3.05*0.03)</f>
        <v>3.1292999999999997</v>
      </c>
      <c r="E98" s="12"/>
      <c r="F98" s="12"/>
      <c r="G98" s="31"/>
      <c r="H98" s="38"/>
    </row>
    <row r="99" spans="1:8" s="13" customFormat="1" ht="15.75" outlineLevel="1" x14ac:dyDescent="0.25">
      <c r="A99" s="10" t="s">
        <v>210</v>
      </c>
      <c r="B99" s="18" t="s">
        <v>85</v>
      </c>
      <c r="C99" s="24" t="s">
        <v>58</v>
      </c>
      <c r="D99" s="26">
        <f>D98*1550</f>
        <v>4850.415</v>
      </c>
      <c r="E99" s="12"/>
      <c r="F99" s="12"/>
      <c r="G99" s="31"/>
      <c r="H99" s="39" t="s">
        <v>55</v>
      </c>
    </row>
    <row r="100" spans="1:8" s="13" customFormat="1" ht="25.5" outlineLevel="1" x14ac:dyDescent="0.25">
      <c r="A100" s="10" t="s">
        <v>211</v>
      </c>
      <c r="B100" s="17" t="s">
        <v>108</v>
      </c>
      <c r="C100" s="22" t="s">
        <v>35</v>
      </c>
      <c r="D100" s="23">
        <f>(34.2*3.05*0.3)+(34.2*0.75*0.3*2)</f>
        <v>46.683</v>
      </c>
      <c r="E100" s="12"/>
      <c r="F100" s="12"/>
      <c r="G100" s="31"/>
      <c r="H100" s="38"/>
    </row>
    <row r="101" spans="1:8" s="13" customFormat="1" ht="15.75" outlineLevel="1" x14ac:dyDescent="0.25">
      <c r="A101" s="10" t="s">
        <v>212</v>
      </c>
      <c r="B101" s="18" t="s">
        <v>87</v>
      </c>
      <c r="C101" s="24" t="s">
        <v>35</v>
      </c>
      <c r="D101" s="25">
        <f>D100*1.02</f>
        <v>47.616660000000003</v>
      </c>
      <c r="E101" s="12"/>
      <c r="F101" s="12"/>
      <c r="G101" s="31"/>
      <c r="H101" s="39" t="s">
        <v>55</v>
      </c>
    </row>
    <row r="102" spans="1:8" s="13" customFormat="1" ht="15.75" outlineLevel="1" x14ac:dyDescent="0.25">
      <c r="A102" s="10" t="s">
        <v>213</v>
      </c>
      <c r="B102" s="18" t="s">
        <v>88</v>
      </c>
      <c r="C102" s="24" t="s">
        <v>89</v>
      </c>
      <c r="D102" s="25">
        <f>(2081.9*1.2)*1.578*1.03/1000</f>
        <v>4.0605544152000004</v>
      </c>
      <c r="E102" s="12"/>
      <c r="F102" s="12"/>
      <c r="G102" s="31"/>
      <c r="H102" s="39" t="s">
        <v>55</v>
      </c>
    </row>
    <row r="103" spans="1:8" s="13" customFormat="1" ht="15.75" outlineLevel="1" x14ac:dyDescent="0.25">
      <c r="A103" s="10" t="s">
        <v>214</v>
      </c>
      <c r="B103" s="18" t="s">
        <v>90</v>
      </c>
      <c r="C103" s="24" t="s">
        <v>89</v>
      </c>
      <c r="D103" s="25">
        <f>(399.84*1.2)*0.888*1.03/1000</f>
        <v>0.43885158912</v>
      </c>
      <c r="E103" s="12"/>
      <c r="F103" s="12"/>
      <c r="G103" s="31"/>
      <c r="H103" s="39" t="s">
        <v>55</v>
      </c>
    </row>
    <row r="104" spans="1:8" s="13" customFormat="1" ht="15.75" outlineLevel="1" x14ac:dyDescent="0.25">
      <c r="A104" s="10" t="s">
        <v>215</v>
      </c>
      <c r="B104" s="18" t="s">
        <v>91</v>
      </c>
      <c r="C104" s="24" t="s">
        <v>89</v>
      </c>
      <c r="D104" s="25">
        <f>(604*1.2)*1.42*1.03/1000</f>
        <v>1.06009248</v>
      </c>
      <c r="E104" s="12"/>
      <c r="F104" s="12"/>
      <c r="G104" s="31"/>
      <c r="H104" s="39" t="s">
        <v>55</v>
      </c>
    </row>
    <row r="105" spans="1:8" s="13" customFormat="1" ht="15.75" outlineLevel="1" x14ac:dyDescent="0.25">
      <c r="A105" s="10" t="s">
        <v>216</v>
      </c>
      <c r="B105" s="18" t="s">
        <v>92</v>
      </c>
      <c r="C105" s="24" t="s">
        <v>89</v>
      </c>
      <c r="D105" s="25">
        <f>(153*1.2)*2.51*1.03/1000</f>
        <v>0.47466107999999996</v>
      </c>
      <c r="E105" s="12"/>
      <c r="F105" s="12"/>
      <c r="G105" s="31"/>
      <c r="H105" s="39" t="s">
        <v>55</v>
      </c>
    </row>
    <row r="106" spans="1:8" s="13" customFormat="1" ht="15.75" outlineLevel="1" x14ac:dyDescent="0.25">
      <c r="A106" s="10" t="s">
        <v>217</v>
      </c>
      <c r="B106" s="18" t="s">
        <v>109</v>
      </c>
      <c r="C106" s="24" t="s">
        <v>89</v>
      </c>
      <c r="D106" s="25">
        <f>(156*1.2)*2.5*1.03/1000</f>
        <v>0.48204000000000002</v>
      </c>
      <c r="E106" s="12"/>
      <c r="F106" s="12"/>
      <c r="G106" s="31"/>
      <c r="H106" s="39" t="s">
        <v>55</v>
      </c>
    </row>
    <row r="107" spans="1:8" s="13" customFormat="1" ht="15.75" outlineLevel="1" x14ac:dyDescent="0.25">
      <c r="A107" s="10" t="s">
        <v>218</v>
      </c>
      <c r="B107" s="18" t="s">
        <v>93</v>
      </c>
      <c r="C107" s="24" t="s">
        <v>89</v>
      </c>
      <c r="D107" s="25">
        <f>(302*1.2)*1.11*1.03/1000</f>
        <v>0.41433192000000002</v>
      </c>
      <c r="E107" s="12"/>
      <c r="F107" s="12"/>
      <c r="G107" s="31"/>
      <c r="H107" s="39" t="s">
        <v>55</v>
      </c>
    </row>
    <row r="108" spans="1:8" s="13" customFormat="1" ht="15.75" outlineLevel="1" x14ac:dyDescent="0.25">
      <c r="A108" s="10" t="s">
        <v>219</v>
      </c>
      <c r="B108" s="17" t="s">
        <v>110</v>
      </c>
      <c r="C108" s="22" t="s">
        <v>37</v>
      </c>
      <c r="D108" s="23">
        <f>D109</f>
        <v>45</v>
      </c>
      <c r="E108" s="12"/>
      <c r="F108" s="12"/>
      <c r="G108" s="31"/>
      <c r="H108" s="38"/>
    </row>
    <row r="109" spans="1:8" s="13" customFormat="1" ht="15.75" outlineLevel="1" x14ac:dyDescent="0.25">
      <c r="A109" s="10" t="s">
        <v>220</v>
      </c>
      <c r="B109" s="18" t="s">
        <v>95</v>
      </c>
      <c r="C109" s="24" t="s">
        <v>37</v>
      </c>
      <c r="D109" s="25">
        <f>36+9</f>
        <v>45</v>
      </c>
      <c r="E109" s="12"/>
      <c r="F109" s="12"/>
      <c r="G109" s="31"/>
      <c r="H109" s="39" t="s">
        <v>57</v>
      </c>
    </row>
    <row r="110" spans="1:8" s="13" customFormat="1" ht="25.5" outlineLevel="1" x14ac:dyDescent="0.25">
      <c r="A110" s="10" t="s">
        <v>221</v>
      </c>
      <c r="B110" s="17" t="s">
        <v>111</v>
      </c>
      <c r="C110" s="22" t="s">
        <v>41</v>
      </c>
      <c r="D110" s="23">
        <f>(34.2*3.05*0.2)+(34.2*1.53*0.2*2)</f>
        <v>41.792400000000008</v>
      </c>
      <c r="E110" s="12"/>
      <c r="F110" s="12"/>
      <c r="G110" s="31"/>
      <c r="H110" s="38"/>
    </row>
    <row r="111" spans="1:8" s="13" customFormat="1" ht="25.5" outlineLevel="1" x14ac:dyDescent="0.25">
      <c r="A111" s="10" t="s">
        <v>222</v>
      </c>
      <c r="B111" s="18" t="s">
        <v>71</v>
      </c>
      <c r="C111" s="24" t="s">
        <v>35</v>
      </c>
      <c r="D111" s="25">
        <f>D110</f>
        <v>41.792400000000008</v>
      </c>
      <c r="E111" s="12"/>
      <c r="F111" s="12"/>
      <c r="G111" s="31"/>
      <c r="H111" s="39" t="s">
        <v>55</v>
      </c>
    </row>
    <row r="112" spans="1:8" s="13" customFormat="1" ht="38.25" outlineLevel="1" x14ac:dyDescent="0.25">
      <c r="A112" s="27" t="s">
        <v>223</v>
      </c>
      <c r="B112" s="16" t="s">
        <v>112</v>
      </c>
      <c r="C112" s="20" t="s">
        <v>77</v>
      </c>
      <c r="D112" s="21">
        <v>1</v>
      </c>
      <c r="E112" s="28"/>
      <c r="F112" s="28">
        <f t="shared" si="1"/>
        <v>0</v>
      </c>
      <c r="G112" s="32"/>
      <c r="H112" s="37"/>
    </row>
    <row r="113" spans="1:8" s="13" customFormat="1" ht="25.5" outlineLevel="1" x14ac:dyDescent="0.25">
      <c r="A113" s="10" t="s">
        <v>224</v>
      </c>
      <c r="B113" s="17" t="s">
        <v>113</v>
      </c>
      <c r="C113" s="22" t="s">
        <v>41</v>
      </c>
      <c r="D113" s="23">
        <f>3.56*3.53*0.1</f>
        <v>1.25668</v>
      </c>
      <c r="E113" s="12"/>
      <c r="F113" s="12"/>
      <c r="G113" s="31"/>
      <c r="H113" s="38"/>
    </row>
    <row r="114" spans="1:8" s="13" customFormat="1" ht="15.75" outlineLevel="1" x14ac:dyDescent="0.25">
      <c r="A114" s="10" t="s">
        <v>225</v>
      </c>
      <c r="B114" s="18" t="s">
        <v>79</v>
      </c>
      <c r="C114" s="24" t="s">
        <v>35</v>
      </c>
      <c r="D114" s="25">
        <f>D113*1.02</f>
        <v>1.2818136</v>
      </c>
      <c r="E114" s="12"/>
      <c r="F114" s="12"/>
      <c r="G114" s="31"/>
      <c r="H114" s="39" t="s">
        <v>55</v>
      </c>
    </row>
    <row r="115" spans="1:8" s="13" customFormat="1" ht="25.5" outlineLevel="1" x14ac:dyDescent="0.25">
      <c r="A115" s="10" t="s">
        <v>226</v>
      </c>
      <c r="B115" s="17" t="s">
        <v>114</v>
      </c>
      <c r="C115" s="22" t="s">
        <v>36</v>
      </c>
      <c r="D115" s="23">
        <f>D19+(3.56*3.53)+(3.56*1.458*2)+(1.64*1.458)</f>
        <v>39.756880000000002</v>
      </c>
      <c r="E115" s="12"/>
      <c r="F115" s="12"/>
      <c r="G115" s="31"/>
      <c r="H115" s="38"/>
    </row>
    <row r="116" spans="1:8" s="13" customFormat="1" ht="15.75" outlineLevel="1" x14ac:dyDescent="0.25">
      <c r="A116" s="10" t="s">
        <v>227</v>
      </c>
      <c r="B116" s="18" t="s">
        <v>81</v>
      </c>
      <c r="C116" s="24" t="s">
        <v>82</v>
      </c>
      <c r="D116" s="25">
        <f>D115*0.3</f>
        <v>11.927064</v>
      </c>
      <c r="E116" s="12"/>
      <c r="F116" s="12"/>
      <c r="G116" s="31"/>
      <c r="H116" s="39" t="s">
        <v>57</v>
      </c>
    </row>
    <row r="117" spans="1:8" s="13" customFormat="1" ht="25.5" outlineLevel="1" x14ac:dyDescent="0.25">
      <c r="A117" s="10" t="s">
        <v>228</v>
      </c>
      <c r="B117" s="18" t="s">
        <v>83</v>
      </c>
      <c r="C117" s="24" t="s">
        <v>36</v>
      </c>
      <c r="D117" s="25">
        <f>(D19+(3.56*3.53)+(3.56*1.458*2)+(1.64*1.458))*2*1.15</f>
        <v>91.440823999999992</v>
      </c>
      <c r="E117" s="12"/>
      <c r="F117" s="12"/>
      <c r="G117" s="31"/>
      <c r="H117" s="39" t="s">
        <v>57</v>
      </c>
    </row>
    <row r="118" spans="1:8" s="13" customFormat="1" ht="25.5" outlineLevel="1" x14ac:dyDescent="0.25">
      <c r="A118" s="10" t="s">
        <v>229</v>
      </c>
      <c r="B118" s="17" t="s">
        <v>115</v>
      </c>
      <c r="C118" s="22" t="s">
        <v>41</v>
      </c>
      <c r="D118" s="23">
        <f>(3.53*3.56*0.03)</f>
        <v>0.37700399999999995</v>
      </c>
      <c r="E118" s="12"/>
      <c r="F118" s="12"/>
      <c r="G118" s="31"/>
      <c r="H118" s="38"/>
    </row>
    <row r="119" spans="1:8" s="13" customFormat="1" ht="15.75" outlineLevel="1" x14ac:dyDescent="0.25">
      <c r="A119" s="10" t="s">
        <v>230</v>
      </c>
      <c r="B119" s="18" t="s">
        <v>85</v>
      </c>
      <c r="C119" s="24" t="s">
        <v>58</v>
      </c>
      <c r="D119" s="26">
        <f>D118*1550</f>
        <v>584.35619999999994</v>
      </c>
      <c r="E119" s="12"/>
      <c r="F119" s="12"/>
      <c r="G119" s="31"/>
      <c r="H119" s="39" t="s">
        <v>55</v>
      </c>
    </row>
    <row r="120" spans="1:8" s="13" customFormat="1" ht="25.5" outlineLevel="1" x14ac:dyDescent="0.25">
      <c r="A120" s="10" t="s">
        <v>231</v>
      </c>
      <c r="B120" s="17" t="s">
        <v>116</v>
      </c>
      <c r="C120" s="22" t="s">
        <v>35</v>
      </c>
      <c r="D120" s="23">
        <f>(12.01*0.3)+(12.01*0.3)+(3.56*0.75*0.3)+(1.64*0.75*0.3)+(3.53*0.75*0.3)</f>
        <v>9.1702499999999993</v>
      </c>
      <c r="E120" s="12"/>
      <c r="F120" s="12"/>
      <c r="G120" s="31"/>
      <c r="H120" s="38"/>
    </row>
    <row r="121" spans="1:8" s="13" customFormat="1" ht="15.75" outlineLevel="1" x14ac:dyDescent="0.25">
      <c r="A121" s="10" t="s">
        <v>232</v>
      </c>
      <c r="B121" s="18" t="s">
        <v>87</v>
      </c>
      <c r="C121" s="24" t="s">
        <v>35</v>
      </c>
      <c r="D121" s="25">
        <f>D120*1.02</f>
        <v>9.3536549999999998</v>
      </c>
      <c r="E121" s="12"/>
      <c r="F121" s="12"/>
      <c r="G121" s="31"/>
      <c r="H121" s="39" t="s">
        <v>55</v>
      </c>
    </row>
    <row r="122" spans="1:8" s="13" customFormat="1" ht="15.75" outlineLevel="1" x14ac:dyDescent="0.25">
      <c r="A122" s="10" t="s">
        <v>233</v>
      </c>
      <c r="B122" s="18" t="s">
        <v>117</v>
      </c>
      <c r="C122" s="24" t="s">
        <v>89</v>
      </c>
      <c r="D122" s="25">
        <f>90.63*1.998*1.03/1000</f>
        <v>0.18651110219999997</v>
      </c>
      <c r="E122" s="12"/>
      <c r="F122" s="12"/>
      <c r="G122" s="31"/>
      <c r="H122" s="39" t="s">
        <v>55</v>
      </c>
    </row>
    <row r="123" spans="1:8" s="13" customFormat="1" ht="15.75" outlineLevel="1" x14ac:dyDescent="0.25">
      <c r="A123" s="10" t="s">
        <v>234</v>
      </c>
      <c r="B123" s="18" t="s">
        <v>90</v>
      </c>
      <c r="C123" s="24" t="s">
        <v>89</v>
      </c>
      <c r="D123" s="25">
        <f>220.05*0.888*1.03/1000</f>
        <v>0.20126653200000003</v>
      </c>
      <c r="E123" s="12"/>
      <c r="F123" s="12"/>
      <c r="G123" s="31"/>
      <c r="H123" s="39" t="s">
        <v>55</v>
      </c>
    </row>
    <row r="124" spans="1:8" s="13" customFormat="1" ht="15.75" outlineLevel="1" x14ac:dyDescent="0.25">
      <c r="A124" s="10" t="s">
        <v>235</v>
      </c>
      <c r="B124" s="18" t="s">
        <v>118</v>
      </c>
      <c r="C124" s="24" t="s">
        <v>89</v>
      </c>
      <c r="D124" s="25">
        <f>23*0.73*1.03/1000</f>
        <v>1.7293700000000002E-2</v>
      </c>
      <c r="E124" s="12"/>
      <c r="F124" s="12"/>
      <c r="G124" s="31"/>
      <c r="H124" s="39" t="s">
        <v>55</v>
      </c>
    </row>
    <row r="125" spans="1:8" s="13" customFormat="1" ht="15.75" outlineLevel="1" x14ac:dyDescent="0.25">
      <c r="A125" s="10" t="s">
        <v>236</v>
      </c>
      <c r="B125" s="18" t="s">
        <v>119</v>
      </c>
      <c r="C125" s="24" t="s">
        <v>89</v>
      </c>
      <c r="D125" s="25">
        <f>77*1.11*1.03/1000</f>
        <v>8.8034100000000004E-2</v>
      </c>
      <c r="E125" s="12"/>
      <c r="F125" s="12"/>
      <c r="G125" s="31"/>
      <c r="H125" s="39" t="s">
        <v>55</v>
      </c>
    </row>
    <row r="126" spans="1:8" s="13" customFormat="1" ht="15.75" outlineLevel="1" x14ac:dyDescent="0.25">
      <c r="A126" s="10" t="s">
        <v>237</v>
      </c>
      <c r="B126" s="18" t="s">
        <v>120</v>
      </c>
      <c r="C126" s="24" t="s">
        <v>89</v>
      </c>
      <c r="D126" s="25">
        <f>4*3.28*1.03/1000</f>
        <v>1.3513600000000001E-2</v>
      </c>
      <c r="E126" s="12"/>
      <c r="F126" s="12"/>
      <c r="G126" s="31"/>
      <c r="H126" s="39" t="s">
        <v>55</v>
      </c>
    </row>
    <row r="127" spans="1:8" s="13" customFormat="1" ht="25.5" outlineLevel="1" x14ac:dyDescent="0.25">
      <c r="A127" s="10" t="s">
        <v>238</v>
      </c>
      <c r="B127" s="17" t="s">
        <v>121</v>
      </c>
      <c r="C127" s="22" t="s">
        <v>41</v>
      </c>
      <c r="D127" s="23">
        <f>(12.01*0.2)+(3.56*1.65*0.2)+(1.64*1.65*0.2)+(3.53*1.65*0.2)</f>
        <v>5.2829000000000006</v>
      </c>
      <c r="E127" s="12"/>
      <c r="F127" s="12"/>
      <c r="G127" s="31"/>
      <c r="H127" s="38"/>
    </row>
    <row r="128" spans="1:8" s="13" customFormat="1" ht="25.5" outlineLevel="1" x14ac:dyDescent="0.25">
      <c r="A128" s="10" t="s">
        <v>239</v>
      </c>
      <c r="B128" s="18" t="s">
        <v>71</v>
      </c>
      <c r="C128" s="24" t="s">
        <v>35</v>
      </c>
      <c r="D128" s="25">
        <f>D127</f>
        <v>5.2829000000000006</v>
      </c>
      <c r="E128" s="12"/>
      <c r="F128" s="12"/>
      <c r="G128" s="31"/>
      <c r="H128" s="39" t="s">
        <v>55</v>
      </c>
    </row>
    <row r="129" spans="1:8" s="13" customFormat="1" ht="38.25" outlineLevel="1" x14ac:dyDescent="0.25">
      <c r="A129" s="27" t="s">
        <v>240</v>
      </c>
      <c r="B129" s="16" t="s">
        <v>122</v>
      </c>
      <c r="C129" s="20" t="s">
        <v>77</v>
      </c>
      <c r="D129" s="21">
        <v>1</v>
      </c>
      <c r="E129" s="28"/>
      <c r="F129" s="28">
        <f t="shared" si="1"/>
        <v>0</v>
      </c>
      <c r="G129" s="32"/>
      <c r="H129" s="37"/>
    </row>
    <row r="130" spans="1:8" s="13" customFormat="1" ht="15.75" outlineLevel="1" x14ac:dyDescent="0.25">
      <c r="A130" s="10" t="s">
        <v>241</v>
      </c>
      <c r="B130" s="17" t="s">
        <v>123</v>
      </c>
      <c r="C130" s="22" t="s">
        <v>41</v>
      </c>
      <c r="D130" s="23">
        <f>3.05*9.86*0.1</f>
        <v>3.0072999999999999</v>
      </c>
      <c r="E130" s="12"/>
      <c r="F130" s="12"/>
      <c r="G130" s="31"/>
      <c r="H130" s="38"/>
    </row>
    <row r="131" spans="1:8" s="13" customFormat="1" ht="15.75" outlineLevel="1" x14ac:dyDescent="0.25">
      <c r="A131" s="10" t="s">
        <v>242</v>
      </c>
      <c r="B131" s="18" t="s">
        <v>79</v>
      </c>
      <c r="C131" s="24" t="s">
        <v>35</v>
      </c>
      <c r="D131" s="25">
        <f>D130*1.02</f>
        <v>3.0674459999999999</v>
      </c>
      <c r="E131" s="12"/>
      <c r="F131" s="12"/>
      <c r="G131" s="31"/>
      <c r="H131" s="39" t="s">
        <v>55</v>
      </c>
    </row>
    <row r="132" spans="1:8" s="13" customFormat="1" ht="15.75" outlineLevel="1" x14ac:dyDescent="0.25">
      <c r="A132" s="10" t="s">
        <v>243</v>
      </c>
      <c r="B132" s="17" t="s">
        <v>124</v>
      </c>
      <c r="C132" s="22" t="s">
        <v>36</v>
      </c>
      <c r="D132" s="23">
        <f>D20+(9.86*3.05)+(9.86*1.19*2)</f>
        <v>87.063799999999986</v>
      </c>
      <c r="E132" s="12"/>
      <c r="F132" s="12"/>
      <c r="G132" s="31"/>
      <c r="H132" s="38"/>
    </row>
    <row r="133" spans="1:8" s="13" customFormat="1" ht="15.75" outlineLevel="1" x14ac:dyDescent="0.25">
      <c r="A133" s="10" t="s">
        <v>244</v>
      </c>
      <c r="B133" s="18" t="s">
        <v>81</v>
      </c>
      <c r="C133" s="24" t="s">
        <v>82</v>
      </c>
      <c r="D133" s="25">
        <f>D132*0.3</f>
        <v>26.119139999999994</v>
      </c>
      <c r="E133" s="12"/>
      <c r="F133" s="12"/>
      <c r="G133" s="31"/>
      <c r="H133" s="39" t="s">
        <v>57</v>
      </c>
    </row>
    <row r="134" spans="1:8" s="13" customFormat="1" ht="25.5" outlineLevel="1" x14ac:dyDescent="0.25">
      <c r="A134" s="10" t="s">
        <v>245</v>
      </c>
      <c r="B134" s="18" t="s">
        <v>83</v>
      </c>
      <c r="C134" s="24" t="s">
        <v>36</v>
      </c>
      <c r="D134" s="25">
        <f>(D20+(9.86*3.05)+(9.86*1.19*2))*2*1.15</f>
        <v>200.24673999999996</v>
      </c>
      <c r="E134" s="12"/>
      <c r="F134" s="12"/>
      <c r="G134" s="31"/>
      <c r="H134" s="39" t="s">
        <v>57</v>
      </c>
    </row>
    <row r="135" spans="1:8" s="13" customFormat="1" ht="25.5" outlineLevel="1" x14ac:dyDescent="0.25">
      <c r="A135" s="10" t="s">
        <v>246</v>
      </c>
      <c r="B135" s="17" t="s">
        <v>125</v>
      </c>
      <c r="C135" s="22" t="s">
        <v>41</v>
      </c>
      <c r="D135" s="23">
        <f>(9.86*3.05*0.03)</f>
        <v>0.90218999999999983</v>
      </c>
      <c r="E135" s="12"/>
      <c r="F135" s="12"/>
      <c r="G135" s="31"/>
      <c r="H135" s="38"/>
    </row>
    <row r="136" spans="1:8" s="13" customFormat="1" ht="15.75" outlineLevel="1" x14ac:dyDescent="0.25">
      <c r="A136" s="10" t="s">
        <v>247</v>
      </c>
      <c r="B136" s="18" t="s">
        <v>85</v>
      </c>
      <c r="C136" s="24" t="s">
        <v>58</v>
      </c>
      <c r="D136" s="26">
        <f>D135*1550</f>
        <v>1398.3944999999997</v>
      </c>
      <c r="E136" s="12"/>
      <c r="F136" s="12"/>
      <c r="G136" s="31"/>
      <c r="H136" s="39" t="s">
        <v>55</v>
      </c>
    </row>
    <row r="137" spans="1:8" s="13" customFormat="1" ht="25.5" outlineLevel="1" x14ac:dyDescent="0.25">
      <c r="A137" s="10" t="s">
        <v>248</v>
      </c>
      <c r="B137" s="17" t="s">
        <v>126</v>
      </c>
      <c r="C137" s="22" t="s">
        <v>35</v>
      </c>
      <c r="D137" s="23">
        <f>(9.86*3.05*0.3)+(9.86*0.75*0.3*2)</f>
        <v>13.458899999999998</v>
      </c>
      <c r="E137" s="12"/>
      <c r="F137" s="12"/>
      <c r="G137" s="31"/>
      <c r="H137" s="38"/>
    </row>
    <row r="138" spans="1:8" s="13" customFormat="1" ht="15.75" outlineLevel="1" x14ac:dyDescent="0.25">
      <c r="A138" s="10" t="s">
        <v>249</v>
      </c>
      <c r="B138" s="18" t="s">
        <v>87</v>
      </c>
      <c r="C138" s="24" t="s">
        <v>35</v>
      </c>
      <c r="D138" s="25">
        <f>D137*1.02</f>
        <v>13.728077999999998</v>
      </c>
      <c r="E138" s="12"/>
      <c r="F138" s="12"/>
      <c r="G138" s="31"/>
      <c r="H138" s="39" t="s">
        <v>55</v>
      </c>
    </row>
    <row r="139" spans="1:8" s="13" customFormat="1" ht="15.75" outlineLevel="1" x14ac:dyDescent="0.25">
      <c r="A139" s="10" t="s">
        <v>250</v>
      </c>
      <c r="B139" s="18" t="s">
        <v>88</v>
      </c>
      <c r="C139" s="24" t="s">
        <v>89</v>
      </c>
      <c r="D139" s="25">
        <f>715.78*1.578*1.03/1000</f>
        <v>1.1633858652</v>
      </c>
      <c r="E139" s="12"/>
      <c r="F139" s="12"/>
      <c r="G139" s="31"/>
      <c r="H139" s="39" t="s">
        <v>55</v>
      </c>
    </row>
    <row r="140" spans="1:8" s="13" customFormat="1" ht="15.75" outlineLevel="1" x14ac:dyDescent="0.25">
      <c r="A140" s="10" t="s">
        <v>251</v>
      </c>
      <c r="B140" s="18" t="s">
        <v>90</v>
      </c>
      <c r="C140" s="24" t="s">
        <v>89</v>
      </c>
      <c r="D140" s="25">
        <f>90.32*0.888*1.03/1000</f>
        <v>8.2610284800000003E-2</v>
      </c>
      <c r="E140" s="12"/>
      <c r="F140" s="12"/>
      <c r="G140" s="31"/>
      <c r="H140" s="39" t="s">
        <v>55</v>
      </c>
    </row>
    <row r="141" spans="1:8" s="13" customFormat="1" ht="15.75" outlineLevel="1" x14ac:dyDescent="0.25">
      <c r="A141" s="10" t="s">
        <v>252</v>
      </c>
      <c r="B141" s="18" t="s">
        <v>91</v>
      </c>
      <c r="C141" s="24" t="s">
        <v>89</v>
      </c>
      <c r="D141" s="25">
        <f>204*1.42*1.03/1000</f>
        <v>0.29837040000000004</v>
      </c>
      <c r="E141" s="12"/>
      <c r="F141" s="12"/>
      <c r="G141" s="31"/>
      <c r="H141" s="39" t="s">
        <v>55</v>
      </c>
    </row>
    <row r="142" spans="1:8" s="13" customFormat="1" ht="15.75" outlineLevel="1" x14ac:dyDescent="0.25">
      <c r="A142" s="10" t="s">
        <v>253</v>
      </c>
      <c r="B142" s="18" t="s">
        <v>92</v>
      </c>
      <c r="C142" s="24" t="s">
        <v>89</v>
      </c>
      <c r="D142" s="25">
        <f>121*2.51*1.03/1000</f>
        <v>0.31282130000000002</v>
      </c>
      <c r="E142" s="12"/>
      <c r="F142" s="12"/>
      <c r="G142" s="31"/>
      <c r="H142" s="39" t="s">
        <v>55</v>
      </c>
    </row>
    <row r="143" spans="1:8" s="13" customFormat="1" ht="15.75" outlineLevel="1" x14ac:dyDescent="0.25">
      <c r="A143" s="10" t="s">
        <v>254</v>
      </c>
      <c r="B143" s="18" t="s">
        <v>127</v>
      </c>
      <c r="C143" s="24" t="s">
        <v>89</v>
      </c>
      <c r="D143" s="25">
        <f>8*1.13*1.03/1000</f>
        <v>9.3111999999999986E-3</v>
      </c>
      <c r="E143" s="12"/>
      <c r="F143" s="12"/>
      <c r="G143" s="31"/>
      <c r="H143" s="39" t="s">
        <v>55</v>
      </c>
    </row>
    <row r="144" spans="1:8" s="13" customFormat="1" ht="15.75" outlineLevel="1" x14ac:dyDescent="0.25">
      <c r="A144" s="10" t="s">
        <v>255</v>
      </c>
      <c r="B144" s="18" t="s">
        <v>93</v>
      </c>
      <c r="C144" s="24" t="s">
        <v>89</v>
      </c>
      <c r="D144" s="25">
        <f>102*1.11*1.03/1000</f>
        <v>0.11661660000000001</v>
      </c>
      <c r="E144" s="12"/>
      <c r="F144" s="12"/>
      <c r="G144" s="31"/>
      <c r="H144" s="39" t="s">
        <v>55</v>
      </c>
    </row>
    <row r="145" spans="1:8" s="13" customFormat="1" ht="15.75" outlineLevel="1" x14ac:dyDescent="0.25">
      <c r="A145" s="10" t="s">
        <v>256</v>
      </c>
      <c r="B145" s="17" t="s">
        <v>128</v>
      </c>
      <c r="C145" s="22" t="s">
        <v>37</v>
      </c>
      <c r="D145" s="23">
        <f>D146</f>
        <v>13</v>
      </c>
      <c r="E145" s="12"/>
      <c r="F145" s="12"/>
      <c r="G145" s="31"/>
      <c r="H145" s="38"/>
    </row>
    <row r="146" spans="1:8" s="13" customFormat="1" ht="15.75" outlineLevel="1" x14ac:dyDescent="0.25">
      <c r="A146" s="10" t="s">
        <v>257</v>
      </c>
      <c r="B146" s="18" t="s">
        <v>95</v>
      </c>
      <c r="C146" s="24" t="s">
        <v>37</v>
      </c>
      <c r="D146" s="25">
        <v>13</v>
      </c>
      <c r="E146" s="12"/>
      <c r="F146" s="12"/>
      <c r="G146" s="31"/>
      <c r="H146" s="39" t="s">
        <v>57</v>
      </c>
    </row>
    <row r="147" spans="1:8" s="13" customFormat="1" ht="25.5" outlineLevel="1" x14ac:dyDescent="0.25">
      <c r="A147" s="10" t="s">
        <v>258</v>
      </c>
      <c r="B147" s="17" t="s">
        <v>129</v>
      </c>
      <c r="C147" s="22" t="s">
        <v>41</v>
      </c>
      <c r="D147" s="23">
        <f>(9.86*3.05*0.2)+(9.86*1.53*0.2*2)</f>
        <v>12.048919999999999</v>
      </c>
      <c r="E147" s="12"/>
      <c r="F147" s="12"/>
      <c r="G147" s="31"/>
      <c r="H147" s="38"/>
    </row>
    <row r="148" spans="1:8" s="13" customFormat="1" ht="25.5" outlineLevel="1" x14ac:dyDescent="0.25">
      <c r="A148" s="10" t="s">
        <v>259</v>
      </c>
      <c r="B148" s="18" t="s">
        <v>71</v>
      </c>
      <c r="C148" s="24" t="s">
        <v>35</v>
      </c>
      <c r="D148" s="25">
        <f>D147</f>
        <v>12.048919999999999</v>
      </c>
      <c r="E148" s="12"/>
      <c r="F148" s="12"/>
      <c r="G148" s="31"/>
      <c r="H148" s="39" t="s">
        <v>55</v>
      </c>
    </row>
    <row r="149" spans="1:8" s="13" customFormat="1" ht="38.25" outlineLevel="1" x14ac:dyDescent="0.25">
      <c r="A149" s="27" t="s">
        <v>260</v>
      </c>
      <c r="B149" s="16" t="s">
        <v>34</v>
      </c>
      <c r="C149" s="20" t="s">
        <v>35</v>
      </c>
      <c r="D149" s="21">
        <f>SUM(D150:D153)</f>
        <v>527.29000000000008</v>
      </c>
      <c r="E149" s="28"/>
      <c r="F149" s="28">
        <f t="shared" ref="F149" si="2">E149*D149</f>
        <v>0</v>
      </c>
      <c r="G149" s="32"/>
      <c r="H149" s="37"/>
    </row>
    <row r="150" spans="1:8" s="13" customFormat="1" ht="25.5" outlineLevel="1" x14ac:dyDescent="0.25">
      <c r="A150" s="10" t="s">
        <v>261</v>
      </c>
      <c r="B150" s="17" t="s">
        <v>130</v>
      </c>
      <c r="C150" s="22" t="s">
        <v>41</v>
      </c>
      <c r="D150" s="23">
        <f>((4.25+8.25)/2*2*21.51)-109.24</f>
        <v>159.63499999999999</v>
      </c>
      <c r="E150" s="12"/>
      <c r="F150" s="12"/>
      <c r="G150" s="31"/>
      <c r="H150" s="38"/>
    </row>
    <row r="151" spans="1:8" s="13" customFormat="1" ht="25.5" outlineLevel="1" x14ac:dyDescent="0.25">
      <c r="A151" s="10" t="s">
        <v>262</v>
      </c>
      <c r="B151" s="17" t="s">
        <v>131</v>
      </c>
      <c r="C151" s="22" t="s">
        <v>41</v>
      </c>
      <c r="D151" s="23">
        <f>((4.25+8.25)/2*2*34.2)-167.5</f>
        <v>260.00000000000006</v>
      </c>
      <c r="E151" s="12"/>
      <c r="F151" s="12"/>
      <c r="G151" s="31"/>
      <c r="H151" s="38"/>
    </row>
    <row r="152" spans="1:8" s="13" customFormat="1" ht="25.5" outlineLevel="1" x14ac:dyDescent="0.25">
      <c r="A152" s="10" t="s">
        <v>263</v>
      </c>
      <c r="B152" s="17" t="s">
        <v>132</v>
      </c>
      <c r="C152" s="22" t="s">
        <v>41</v>
      </c>
      <c r="D152" s="23">
        <f>((4.25+8.25)/2*2.11*3.6)-25.22</f>
        <v>22.255000000000003</v>
      </c>
      <c r="E152" s="12"/>
      <c r="F152" s="12"/>
      <c r="G152" s="31"/>
      <c r="H152" s="38"/>
    </row>
    <row r="153" spans="1:8" s="13" customFormat="1" ht="25.5" outlineLevel="1" x14ac:dyDescent="0.25">
      <c r="A153" s="10" t="s">
        <v>264</v>
      </c>
      <c r="B153" s="17" t="s">
        <v>133</v>
      </c>
      <c r="C153" s="22" t="s">
        <v>41</v>
      </c>
      <c r="D153" s="23">
        <f>((4.25+8.25)/2*2*9.86)-37.85</f>
        <v>85.4</v>
      </c>
      <c r="E153" s="12"/>
      <c r="F153" s="12"/>
      <c r="G153" s="31"/>
      <c r="H153" s="38"/>
    </row>
    <row r="154" spans="1:8" x14ac:dyDescent="0.25">
      <c r="A154" s="71" t="s">
        <v>13</v>
      </c>
      <c r="B154" s="71"/>
      <c r="C154" s="71"/>
      <c r="D154" s="71"/>
      <c r="E154" s="71"/>
      <c r="F154" s="5">
        <f>SUM(F8:F153)</f>
        <v>0</v>
      </c>
      <c r="G154" s="33"/>
    </row>
    <row r="155" spans="1:8" x14ac:dyDescent="0.25">
      <c r="A155" s="59" t="s">
        <v>14</v>
      </c>
      <c r="B155" s="59"/>
      <c r="C155" s="59"/>
      <c r="D155" s="59"/>
      <c r="E155" s="59"/>
      <c r="F155" s="5">
        <f>F154*0.2</f>
        <v>0</v>
      </c>
      <c r="G155" s="34"/>
    </row>
    <row r="156" spans="1:8" x14ac:dyDescent="0.25">
      <c r="A156" s="59" t="s">
        <v>15</v>
      </c>
      <c r="B156" s="59"/>
      <c r="C156" s="59"/>
      <c r="D156" s="59"/>
      <c r="E156" s="59" t="s">
        <v>16</v>
      </c>
      <c r="F156" s="5">
        <f>F155+F154</f>
        <v>0</v>
      </c>
      <c r="G156" s="34"/>
    </row>
    <row r="159" spans="1:8" ht="105" customHeight="1" x14ac:dyDescent="0.25">
      <c r="B159" s="6" t="s">
        <v>17</v>
      </c>
      <c r="F159" s="62" t="s">
        <v>18</v>
      </c>
      <c r="G159" s="62"/>
      <c r="H159" s="40"/>
    </row>
    <row r="161" spans="2:6" ht="102.75" customHeight="1" x14ac:dyDescent="0.25">
      <c r="B161" s="8"/>
      <c r="F161" s="9"/>
    </row>
  </sheetData>
  <mergeCells count="9">
    <mergeCell ref="A156:E156"/>
    <mergeCell ref="F159:G159"/>
    <mergeCell ref="A8:G8"/>
    <mergeCell ref="A1:G1"/>
    <mergeCell ref="A2:G2"/>
    <mergeCell ref="A3:G3"/>
    <mergeCell ref="A4:G4"/>
    <mergeCell ref="A154:E154"/>
    <mergeCell ref="A155:E155"/>
  </mergeCells>
  <phoneticPr fontId="9" type="noConversion"/>
  <pageMargins left="0.39370078740157477" right="0.39370078740157477" top="0.78740157480314954" bottom="0.39370078740157477" header="0.31496062992125984" footer="0.31496062992125984"/>
  <pageSetup paperSize="9" scale="47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</vt:lpstr>
      <vt:lpstr>Смета подробная</vt:lpstr>
      <vt:lpstr>Смета!Область_печати</vt:lpstr>
      <vt:lpstr>'Смета подробная'!Область_печати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Нецветай Лариса Юрьевна</dc:creator>
  <cp:lastModifiedBy>Стойлова Алёна Андреевна</cp:lastModifiedBy>
  <cp:revision>1</cp:revision>
  <dcterms:created xsi:type="dcterms:W3CDTF">2015-06-05T18:19:34Z</dcterms:created>
  <dcterms:modified xsi:type="dcterms:W3CDTF">2025-08-06T06:33:18Z</dcterms:modified>
</cp:coreProperties>
</file>